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fileSharing readOnlyRecommended="1"/>
  <workbookPr defaultThemeVersion="166925"/>
  <mc:AlternateContent xmlns:mc="http://schemas.openxmlformats.org/markup-compatibility/2006">
    <mc:Choice Requires="x15">
      <x15ac:absPath xmlns:x15ac="http://schemas.microsoft.com/office/spreadsheetml/2010/11/ac" url="\\plum4\DTR_OPRACOWANIE\GAZOWNICTWO\MacBAT 5 EXPORT - OEM\MacBAT_5_product_code_creator\MacBAT_5_product_code_creator_EN_v1.1\"/>
    </mc:Choice>
  </mc:AlternateContent>
  <xr:revisionPtr revIDLastSave="0" documentId="13_ncr:1_{36C8B3AD-5346-4B02-9ED7-FF59A52891A5}" xr6:coauthVersionLast="47" xr6:coauthVersionMax="47" xr10:uidLastSave="{00000000-0000-0000-0000-000000000000}"/>
  <workbookProtection workbookAlgorithmName="SHA-512" workbookHashValue="mrV8i/te4zJ8v5FRAuyIDW6HMR9tjaprT4Dt5aZDaUqWCoqKyQI52SyRBSOFYKNivWejXC5HU8K+U58fF5PvJQ==" workbookSaltValue="xQP7JVOZwLJkgSbXqgvLDA==" workbookSpinCount="100000" lockStructure="1"/>
  <bookViews>
    <workbookView xWindow="28680" yWindow="-120" windowWidth="29040" windowHeight="16440" xr2:uid="{8DF87AAD-8218-449B-8996-3A4384D7706A}"/>
  </bookViews>
  <sheets>
    <sheet name="Arkusz1" sheetId="1" r:id="rId1"/>
    <sheet name="Arkusz2" sheetId="2" state="hidden" r:id="rId2"/>
  </sheets>
  <definedNames>
    <definedName name="_xlnm.Print_Area" localSheetId="0">Arkusz1!$B$1:$Q$75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2" l="1"/>
  <c r="G20" i="2"/>
  <c r="G19" i="2"/>
  <c r="G18" i="2"/>
  <c r="G17" i="2"/>
  <c r="G16" i="2"/>
  <c r="G15" i="2"/>
  <c r="G14" i="2"/>
  <c r="G13" i="2"/>
  <c r="G12" i="2"/>
  <c r="G11" i="2"/>
  <c r="E6" i="2"/>
  <c r="C37" i="2"/>
  <c r="H35" i="2"/>
  <c r="O18" i="2"/>
  <c r="J69" i="2" l="1"/>
  <c r="C25" i="2"/>
  <c r="K9" i="2"/>
  <c r="O69" i="2" s="1"/>
  <c r="Y69" i="2"/>
  <c r="Z69" i="2"/>
  <c r="E69" i="2"/>
  <c r="I74" i="1"/>
  <c r="K74" i="1"/>
  <c r="H38" i="2"/>
  <c r="H37" i="2"/>
  <c r="H36" i="2"/>
  <c r="G72" i="1"/>
  <c r="H13" i="2"/>
  <c r="H12" i="2"/>
  <c r="H11" i="2"/>
  <c r="K73" i="1"/>
  <c r="K72" i="1"/>
  <c r="I73" i="1"/>
  <c r="I65" i="1"/>
  <c r="M49" i="1"/>
  <c r="G49" i="1"/>
  <c r="H53" i="1"/>
  <c r="H55" i="1"/>
  <c r="H60" i="1"/>
  <c r="I61" i="1"/>
  <c r="O55" i="1"/>
  <c r="O52" i="1"/>
  <c r="O51" i="1"/>
  <c r="O53" i="1"/>
  <c r="O59" i="1"/>
  <c r="O56" i="1"/>
  <c r="O58" i="1"/>
  <c r="O57" i="1"/>
  <c r="O54" i="1"/>
  <c r="O50" i="1"/>
  <c r="I59" i="1"/>
  <c r="I58" i="1"/>
  <c r="I56" i="1"/>
  <c r="I54" i="1"/>
  <c r="I52" i="1"/>
  <c r="I51" i="1"/>
  <c r="N59" i="1"/>
  <c r="Q59" i="1" s="1"/>
  <c r="N58" i="1"/>
  <c r="N57" i="1"/>
  <c r="N56" i="1"/>
  <c r="N55" i="1"/>
  <c r="Q55" i="1" s="1"/>
  <c r="N54" i="1"/>
  <c r="N53" i="1"/>
  <c r="N52" i="1"/>
  <c r="N51" i="1"/>
  <c r="N50" i="1"/>
  <c r="Q50" i="1" s="1"/>
  <c r="H61" i="1"/>
  <c r="H59" i="1"/>
  <c r="H58" i="1"/>
  <c r="H56" i="1"/>
  <c r="H54" i="1"/>
  <c r="H52" i="1"/>
  <c r="H51" i="1"/>
  <c r="I50" i="1"/>
  <c r="B46" i="1"/>
  <c r="B45" i="1"/>
  <c r="B47" i="1"/>
  <c r="B65" i="1"/>
  <c r="B63" i="1"/>
  <c r="B61" i="1"/>
  <c r="B59" i="1"/>
  <c r="B57" i="1"/>
  <c r="L64" i="1"/>
  <c r="I64" i="1"/>
  <c r="Q49" i="1"/>
  <c r="P49" i="1"/>
  <c r="O49" i="1"/>
  <c r="N49" i="1"/>
  <c r="K49" i="1"/>
  <c r="J49" i="1"/>
  <c r="I49" i="1"/>
  <c r="H50" i="1"/>
  <c r="H49" i="1"/>
  <c r="M59" i="1"/>
  <c r="M58" i="1"/>
  <c r="M57" i="1"/>
  <c r="M56" i="1"/>
  <c r="M55" i="1"/>
  <c r="M54" i="1"/>
  <c r="M53" i="1"/>
  <c r="M52" i="1"/>
  <c r="M51" i="1"/>
  <c r="M50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B53" i="1"/>
  <c r="X69" i="2"/>
  <c r="B51" i="1"/>
  <c r="B55" i="1"/>
  <c r="G47" i="1"/>
  <c r="W69" i="2"/>
  <c r="Q38" i="2"/>
  <c r="Q37" i="2"/>
  <c r="Q36" i="2"/>
  <c r="Q35" i="2"/>
  <c r="U69" i="2"/>
  <c r="E74" i="1"/>
  <c r="F45" i="2"/>
  <c r="F44" i="2"/>
  <c r="F43" i="2"/>
  <c r="F42" i="2"/>
  <c r="F41" i="2"/>
  <c r="F40" i="2"/>
  <c r="F39" i="2"/>
  <c r="F38" i="2"/>
  <c r="F37" i="2"/>
  <c r="F36" i="2"/>
  <c r="B49" i="1"/>
  <c r="H69" i="2"/>
  <c r="M17" i="1"/>
  <c r="E70" i="1"/>
  <c r="M11" i="1"/>
  <c r="I69" i="2" l="1"/>
  <c r="Q57" i="1"/>
  <c r="K59" i="1"/>
  <c r="Q58" i="1"/>
  <c r="K55" i="1"/>
  <c r="Q54" i="1"/>
  <c r="Q52" i="1"/>
  <c r="Q56" i="1"/>
  <c r="Q53" i="1"/>
  <c r="Q51" i="1"/>
  <c r="K60" i="1"/>
  <c r="K51" i="1"/>
  <c r="K58" i="1"/>
  <c r="K50" i="1"/>
  <c r="K53" i="1"/>
  <c r="K52" i="1"/>
  <c r="V69" i="2"/>
  <c r="T69" i="2"/>
  <c r="S69" i="2"/>
  <c r="R69" i="2"/>
  <c r="Q69" i="2"/>
  <c r="P69" i="2"/>
  <c r="M69" i="2"/>
  <c r="L69" i="2"/>
  <c r="K69" i="2"/>
  <c r="G69" i="2"/>
  <c r="D69" i="2"/>
  <c r="C69" i="2"/>
  <c r="O8" i="2"/>
  <c r="C5" i="2" s="1"/>
  <c r="F20" i="2" s="1"/>
  <c r="G74" i="1"/>
  <c r="E73" i="1"/>
  <c r="G73" i="1" s="1"/>
  <c r="P11" i="1"/>
  <c r="L65" i="1" l="1"/>
  <c r="P17" i="1"/>
  <c r="E69" i="1" l="1"/>
  <c r="F69" i="2"/>
  <c r="N69" i="2"/>
</calcChain>
</file>

<file path=xl/sharedStrings.xml><?xml version="1.0" encoding="utf-8"?>
<sst xmlns="http://schemas.openxmlformats.org/spreadsheetml/2006/main" count="232" uniqueCount="152">
  <si>
    <t>P1 primary sensor</t>
  </si>
  <si>
    <t>P2 secondary sensor</t>
  </si>
  <si>
    <t>N/A</t>
  </si>
  <si>
    <t>Cable length:</t>
  </si>
  <si>
    <t>4-wires</t>
  </si>
  <si>
    <t>Approval:</t>
  </si>
  <si>
    <t>no-MID</t>
  </si>
  <si>
    <t>2xRS485</t>
  </si>
  <si>
    <t>Transmission ports:</t>
  </si>
  <si>
    <t>None</t>
  </si>
  <si>
    <t>4G/3G/2G US/LATAM</t>
  </si>
  <si>
    <t>4G/3G/2G Europe/Asia</t>
  </si>
  <si>
    <t>Housing type:</t>
  </si>
  <si>
    <t>Polycarbonate</t>
  </si>
  <si>
    <t>Steath type:</t>
  </si>
  <si>
    <t>BASE CONDITIONS &amp; METROLOGY</t>
  </si>
  <si>
    <t>SUMMARY</t>
  </si>
  <si>
    <t>Device codename:</t>
  </si>
  <si>
    <t>Variant type</t>
  </si>
  <si>
    <t>Modem type</t>
  </si>
  <si>
    <t>DEVICE HARDWARE</t>
  </si>
  <si>
    <t>Batteries amount</t>
  </si>
  <si>
    <t>No batteries</t>
  </si>
  <si>
    <t>T1 temperature</t>
  </si>
  <si>
    <t>Pb pressure</t>
  </si>
  <si>
    <t>Tb temperature</t>
  </si>
  <si>
    <t>Pressure unit</t>
  </si>
  <si>
    <t>Temperature unit</t>
  </si>
  <si>
    <t>5m</t>
  </si>
  <si>
    <t>10m</t>
  </si>
  <si>
    <t>L: 50mm, dia: 5,7mm</t>
  </si>
  <si>
    <t>Internal M12x1,5</t>
  </si>
  <si>
    <t>External M12x1,5</t>
  </si>
  <si>
    <t>External NPT 1/4</t>
  </si>
  <si>
    <t>1,01325 bar</t>
  </si>
  <si>
    <t>Other</t>
  </si>
  <si>
    <t>bar</t>
  </si>
  <si>
    <t>kPa</t>
  </si>
  <si>
    <t>LANGUAGE &amp; DOCUMENTS</t>
  </si>
  <si>
    <t>Device language</t>
  </si>
  <si>
    <t>Documents language</t>
  </si>
  <si>
    <t>PL</t>
  </si>
  <si>
    <t>EN</t>
  </si>
  <si>
    <t>ES</t>
  </si>
  <si>
    <t>DE</t>
  </si>
  <si>
    <t>SK</t>
  </si>
  <si>
    <t>LT</t>
  </si>
  <si>
    <t>SGERG-88</t>
  </si>
  <si>
    <t>AGA8-92DC</t>
  </si>
  <si>
    <t>AGA8-G2</t>
  </si>
  <si>
    <t>Same as test</t>
  </si>
  <si>
    <t>Volume unit</t>
  </si>
  <si>
    <t>psi</t>
  </si>
  <si>
    <t>m3</t>
  </si>
  <si>
    <t>ft3</t>
  </si>
  <si>
    <t>None - MacBAT 5 T</t>
  </si>
  <si>
    <t>L: 140mm, M20x1,5</t>
  </si>
  <si>
    <t>L: 160mm, M20x1,5</t>
  </si>
  <si>
    <t>L: 180mm, M20x1,5</t>
  </si>
  <si>
    <t>L: 140mm, 1/4NPT</t>
  </si>
  <si>
    <t>L: 160mm, 1/4NPT</t>
  </si>
  <si>
    <t>L: 180mm, 1/4NPT</t>
  </si>
  <si>
    <t>L: 50mm, 1/4NPT</t>
  </si>
  <si>
    <t>L: 50mm, M20x1,5</t>
  </si>
  <si>
    <t>NFC communication:</t>
  </si>
  <si>
    <t>YES</t>
  </si>
  <si>
    <t>3G/2G Europe/Asia</t>
  </si>
  <si>
    <t>3G/2G US/LATAM</t>
  </si>
  <si>
    <t>Additionals:</t>
  </si>
  <si>
    <t>T cable sensor</t>
  </si>
  <si>
    <t>ADDITIONAL INFO</t>
  </si>
  <si>
    <t>2,5m - default</t>
  </si>
  <si>
    <t>Modbus map</t>
  </si>
  <si>
    <t>Approval</t>
  </si>
  <si>
    <t>Housing type</t>
  </si>
  <si>
    <t>Sensor range</t>
  </si>
  <si>
    <t>Cable length</t>
  </si>
  <si>
    <t>Temperature sensor</t>
  </si>
  <si>
    <t>Steath type</t>
  </si>
  <si>
    <t>Transmission ports</t>
  </si>
  <si>
    <t>NFC COMMUNICATION</t>
  </si>
  <si>
    <t>BASE CONDITIONS AND METROLOGY</t>
  </si>
  <si>
    <t>Algorithm for test</t>
  </si>
  <si>
    <t>Gas composition for test</t>
  </si>
  <si>
    <t>Final algorithm</t>
  </si>
  <si>
    <t>Final gas composition</t>
  </si>
  <si>
    <t>LANGUAGE AND DOCUMENTA</t>
  </si>
  <si>
    <t>Customized</t>
  </si>
  <si>
    <t>CHOOSE</t>
  </si>
  <si>
    <t>GENERAL SETTINGS</t>
  </si>
  <si>
    <t>Calculation method - test:</t>
  </si>
  <si>
    <t>Calculation method - Customer choice:</t>
  </si>
  <si>
    <t>Gas composition - Customer choice:</t>
  </si>
  <si>
    <t>Gas composition - test:</t>
  </si>
  <si>
    <t>PT</t>
  </si>
  <si>
    <t>FR</t>
  </si>
  <si>
    <t>CONFIGURATION &amp; ACCESSORIES</t>
  </si>
  <si>
    <t>Mounting plate:</t>
  </si>
  <si>
    <t>Mounting plate</t>
  </si>
  <si>
    <t>1x EVC</t>
  </si>
  <si>
    <t>1x EVC + 1x modem</t>
  </si>
  <si>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Calibri"/>
        <family val="2"/>
        <charset val="238"/>
        <scheme val="minor"/>
      </rPr>
      <t>C</t>
    </r>
  </si>
  <si>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Calibri"/>
        <family val="2"/>
        <charset val="238"/>
        <scheme val="minor"/>
      </rPr>
      <t>K</t>
    </r>
  </si>
  <si>
    <r>
      <t>0</t>
    </r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Calibri"/>
        <family val="2"/>
        <charset val="238"/>
        <scheme val="minor"/>
      </rPr>
      <t>C - 273,15</t>
    </r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Calibri"/>
        <family val="2"/>
        <charset val="238"/>
        <scheme val="minor"/>
      </rPr>
      <t>K</t>
    </r>
  </si>
  <si>
    <r>
      <t>15</t>
    </r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Calibri"/>
        <family val="2"/>
        <charset val="238"/>
        <scheme val="minor"/>
      </rPr>
      <t>C - 288,15°K</t>
    </r>
  </si>
  <si>
    <r>
      <t>20</t>
    </r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Calibri"/>
        <family val="2"/>
        <charset val="238"/>
        <scheme val="minor"/>
      </rPr>
      <t>C - 293,15°K</t>
    </r>
  </si>
  <si>
    <r>
      <t>25</t>
    </r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Calibri"/>
        <family val="2"/>
        <charset val="238"/>
        <scheme val="minor"/>
      </rPr>
      <t>C - 298,15°K</t>
    </r>
  </si>
  <si>
    <t>0°C - 273,15°K</t>
  </si>
  <si>
    <t>15°C - 288,15°K</t>
  </si>
  <si>
    <t>20°C - 293,15°K</t>
  </si>
  <si>
    <t>25°C - 298,15°K</t>
  </si>
  <si>
    <t>Modbus map:</t>
  </si>
  <si>
    <t>Custom - full</t>
  </si>
  <si>
    <t>Pulse cable</t>
  </si>
  <si>
    <t>YES + 3-way valve</t>
  </si>
  <si>
    <t>Do not leave any field unchosen</t>
  </si>
  <si>
    <t>Gas3 - ISO 12213-2</t>
  </si>
  <si>
    <t>Variant type:</t>
  </si>
  <si>
    <t>Modem type:</t>
  </si>
  <si>
    <t>Batteries amount:</t>
  </si>
  <si>
    <t>Pb pressure:</t>
  </si>
  <si>
    <t>Tb temperature:</t>
  </si>
  <si>
    <t>T1 temperature:</t>
  </si>
  <si>
    <t>Pressure unit:</t>
  </si>
  <si>
    <t>Temperature unit:</t>
  </si>
  <si>
    <t>Volume unit:</t>
  </si>
  <si>
    <t>Documents language:</t>
  </si>
  <si>
    <t>Device language:</t>
  </si>
  <si>
    <t>Pulse cable (no plug):</t>
  </si>
  <si>
    <t>2,5m, 4-wires, LF cable</t>
  </si>
  <si>
    <t>5m, 4-wires, LF cable</t>
  </si>
  <si>
    <t>10m, 4-wires, LF cable</t>
  </si>
  <si>
    <t>RU</t>
  </si>
  <si>
    <t>MacBAT 5 product code creator</t>
  </si>
  <si>
    <t>v1.1</t>
  </si>
  <si>
    <t>FULL - 8xDI/4xDO with SCR encoder</t>
  </si>
  <si>
    <t>FULL - 8xDI/4xDO without SCR encoder</t>
  </si>
  <si>
    <t>0,8-6 bar ABS</t>
  </si>
  <si>
    <t>2-10 bar ABS</t>
  </si>
  <si>
    <t>4-20 bar ABS</t>
  </si>
  <si>
    <t>7-35 bar ABS</t>
  </si>
  <si>
    <t>10-70 bar ABS</t>
  </si>
  <si>
    <t>0,8-10 bar ABS</t>
  </si>
  <si>
    <t>4-70 bar ABS</t>
  </si>
  <si>
    <t>10-100 bar ABS</t>
  </si>
  <si>
    <t>20-100 bar  ABS</t>
  </si>
  <si>
    <t>Default</t>
  </si>
  <si>
    <t>Custom - simplified</t>
  </si>
  <si>
    <t>Pressure P1 primary sensor</t>
  </si>
  <si>
    <t>Pressure P2 secondary sensor</t>
  </si>
  <si>
    <t>Temperature T sensor:</t>
  </si>
  <si>
    <t xml:space="preserve">This is a scheme, including many combinations which are technically not possible. If you change a selection, be sure to check all other selection boxes to see if previously chosen options are still available.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</si>
</sst>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charset val="238"/>
      <scheme val="minor"/>
    </font>
    <font>
      <sz val="22"/>
      <color theme="1"/>
      <name val="Calibri"/>
      <family val="2"/>
      <charset val="238"/>
      <scheme val="minor"/>
    </font>
    <font>
      <sz val="11"/>
      <color theme="1"/>
      <name val="Code 128"/>
    </font>
    <font>
      <sz val="48"/>
      <color theme="1"/>
      <name val="Code 12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ode 128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11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0" fillId="0" borderId="0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8" fillId="0" borderId="0" xfId="0" applyFont="1" applyBorder="1"/>
    <xf numFmtId="0" fontId="0" fillId="0" borderId="0" xfId="0" applyFill="1" applyBorder="1"/>
    <xf numFmtId="0" fontId="8" fillId="0" borderId="0" xfId="0" quotePrefix="1" applyFont="1" applyBorder="1"/>
    <xf numFmtId="0" fontId="4" fillId="2" borderId="5" xfId="0" applyFont="1" applyFill="1" applyBorder="1" applyProtection="1">
      <protection hidden="1"/>
    </xf>
    <xf numFmtId="0" fontId="4" fillId="2" borderId="0" xfId="0" applyFont="1" applyFill="1" applyBorder="1" applyProtection="1">
      <protection hidden="1"/>
    </xf>
    <xf numFmtId="0" fontId="4" fillId="2" borderId="6" xfId="0" applyFont="1" applyFill="1" applyBorder="1" applyProtection="1">
      <protection hidden="1"/>
    </xf>
    <xf numFmtId="0" fontId="4" fillId="2" borderId="7" xfId="0" applyFont="1" applyFill="1" applyBorder="1" applyProtection="1">
      <protection hidden="1"/>
    </xf>
    <xf numFmtId="0" fontId="4" fillId="2" borderId="8" xfId="0" applyFont="1" applyFill="1" applyBorder="1" applyProtection="1">
      <protection hidden="1"/>
    </xf>
    <xf numFmtId="0" fontId="4" fillId="2" borderId="9" xfId="0" applyFont="1" applyFill="1" applyBorder="1" applyProtection="1">
      <protection hidden="1"/>
    </xf>
    <xf numFmtId="0" fontId="6" fillId="2" borderId="8" xfId="0" applyFont="1" applyFill="1" applyBorder="1" applyAlignment="1" applyProtection="1">
      <alignment horizontal="center" vertical="center"/>
      <protection hidden="1"/>
    </xf>
    <xf numFmtId="0" fontId="4" fillId="2" borderId="2" xfId="0" applyFont="1" applyFill="1" applyBorder="1" applyProtection="1">
      <protection hidden="1"/>
    </xf>
    <xf numFmtId="0" fontId="4" fillId="2" borderId="3" xfId="0" applyFont="1" applyFill="1" applyBorder="1" applyProtection="1">
      <protection hidden="1"/>
    </xf>
    <xf numFmtId="0" fontId="4" fillId="2" borderId="4" xfId="0" applyFont="1" applyFill="1" applyBorder="1" applyProtection="1">
      <protection hidden="1"/>
    </xf>
    <xf numFmtId="0" fontId="0" fillId="2" borderId="5" xfId="0" applyFill="1" applyBorder="1" applyProtection="1">
      <protection hidden="1"/>
    </xf>
    <xf numFmtId="0" fontId="0" fillId="2" borderId="0" xfId="0" applyFill="1" applyBorder="1" applyProtection="1">
      <protection hidden="1"/>
    </xf>
    <xf numFmtId="0" fontId="0" fillId="2" borderId="0" xfId="0" applyFill="1" applyProtection="1">
      <protection hidden="1"/>
    </xf>
    <xf numFmtId="0" fontId="0" fillId="2" borderId="6" xfId="0" applyFill="1" applyBorder="1" applyProtection="1">
      <protection hidden="1"/>
    </xf>
    <xf numFmtId="0" fontId="5" fillId="2" borderId="0" xfId="0" applyFont="1" applyFill="1" applyProtection="1">
      <protection hidden="1"/>
    </xf>
    <xf numFmtId="0" fontId="5" fillId="0" borderId="0" xfId="0" applyFont="1" applyProtection="1">
      <protection hidden="1"/>
    </xf>
    <xf numFmtId="0" fontId="0" fillId="0" borderId="0" xfId="0" applyFill="1" applyProtection="1"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0" xfId="0" applyProtection="1">
      <protection hidden="1"/>
    </xf>
    <xf numFmtId="0" fontId="0" fillId="0" borderId="0" xfId="0" applyBorder="1" applyAlignment="1" applyProtection="1">
      <protection hidden="1"/>
    </xf>
    <xf numFmtId="0" fontId="0" fillId="0" borderId="6" xfId="0" applyBorder="1" applyAlignment="1" applyProtection="1">
      <protection hidden="1"/>
    </xf>
    <xf numFmtId="0" fontId="0" fillId="2" borderId="0" xfId="0" applyFill="1" applyBorder="1" applyAlignment="1" applyProtection="1">
      <protection hidden="1"/>
    </xf>
    <xf numFmtId="0" fontId="0" fillId="2" borderId="6" xfId="0" applyFill="1" applyBorder="1" applyAlignment="1" applyProtection="1">
      <protection hidden="1"/>
    </xf>
    <xf numFmtId="0" fontId="0" fillId="2" borderId="0" xfId="0" applyFont="1" applyFill="1" applyBorder="1" applyProtection="1">
      <protection hidden="1"/>
    </xf>
    <xf numFmtId="0" fontId="3" fillId="2" borderId="0" xfId="0" applyFont="1" applyFill="1" applyBorder="1" applyAlignment="1" applyProtection="1">
      <alignment vertical="center"/>
      <protection hidden="1"/>
    </xf>
    <xf numFmtId="0" fontId="0" fillId="2" borderId="0" xfId="0" applyFont="1" applyFill="1" applyBorder="1" applyAlignment="1" applyProtection="1">
      <alignment vertical="center"/>
      <protection hidden="1"/>
    </xf>
    <xf numFmtId="0" fontId="2" fillId="2" borderId="0" xfId="0" applyFont="1" applyFill="1" applyBorder="1" applyAlignment="1" applyProtection="1">
      <alignment vertical="center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0" fillId="2" borderId="7" xfId="0" applyFill="1" applyBorder="1" applyProtection="1">
      <protection hidden="1"/>
    </xf>
    <xf numFmtId="0" fontId="0" fillId="2" borderId="8" xfId="0" applyFill="1" applyBorder="1" applyProtection="1">
      <protection hidden="1"/>
    </xf>
    <xf numFmtId="0" fontId="0" fillId="2" borderId="8" xfId="0" applyFont="1" applyFill="1" applyBorder="1" applyProtection="1">
      <protection hidden="1"/>
    </xf>
    <xf numFmtId="0" fontId="0" fillId="2" borderId="9" xfId="0" applyFill="1" applyBorder="1" applyProtection="1">
      <protection hidden="1"/>
    </xf>
    <xf numFmtId="0" fontId="5" fillId="0" borderId="3" xfId="0" applyFont="1" applyFill="1" applyBorder="1" applyAlignment="1" applyProtection="1">
      <alignment horizontal="center"/>
      <protection locked="0" hidden="1"/>
    </xf>
    <xf numFmtId="0" fontId="0" fillId="0" borderId="0" xfId="0" applyProtection="1">
      <protection locked="0" hidden="1"/>
    </xf>
    <xf numFmtId="0" fontId="0" fillId="2" borderId="2" xfId="0" applyFill="1" applyBorder="1" applyProtection="1">
      <protection hidden="1"/>
    </xf>
    <xf numFmtId="0" fontId="0" fillId="2" borderId="3" xfId="0" applyFill="1" applyBorder="1" applyProtection="1">
      <protection hidden="1"/>
    </xf>
    <xf numFmtId="0" fontId="0" fillId="2" borderId="4" xfId="0" applyFill="1" applyBorder="1" applyProtection="1">
      <protection hidden="1"/>
    </xf>
    <xf numFmtId="0" fontId="4" fillId="3" borderId="5" xfId="0" applyFont="1" applyFill="1" applyBorder="1" applyProtection="1">
      <protection hidden="1"/>
    </xf>
    <xf numFmtId="0" fontId="4" fillId="3" borderId="0" xfId="0" applyFont="1" applyFill="1" applyBorder="1" applyProtection="1">
      <protection hidden="1"/>
    </xf>
    <xf numFmtId="0" fontId="0" fillId="3" borderId="6" xfId="0" applyFill="1" applyBorder="1" applyProtection="1">
      <protection hidden="1"/>
    </xf>
    <xf numFmtId="0" fontId="4" fillId="3" borderId="7" xfId="0" applyFont="1" applyFill="1" applyBorder="1" applyProtection="1">
      <protection hidden="1"/>
    </xf>
    <xf numFmtId="0" fontId="4" fillId="3" borderId="8" xfId="0" applyFont="1" applyFill="1" applyBorder="1" applyProtection="1">
      <protection hidden="1"/>
    </xf>
    <xf numFmtId="0" fontId="0" fillId="3" borderId="9" xfId="0" applyFill="1" applyBorder="1" applyProtection="1">
      <protection hidden="1"/>
    </xf>
    <xf numFmtId="0" fontId="4" fillId="3" borderId="7" xfId="0" applyFont="1" applyFill="1" applyBorder="1" applyProtection="1">
      <protection locked="0" hidden="1"/>
    </xf>
    <xf numFmtId="0" fontId="4" fillId="3" borderId="0" xfId="0" applyFont="1" applyFill="1" applyBorder="1" applyProtection="1">
      <protection locked="0" hidden="1"/>
    </xf>
    <xf numFmtId="0" fontId="4" fillId="3" borderId="0" xfId="0" applyFont="1" applyFill="1" applyProtection="1">
      <protection locked="0" hidden="1"/>
    </xf>
    <xf numFmtId="0" fontId="0" fillId="3" borderId="9" xfId="0" applyFill="1" applyBorder="1" applyProtection="1">
      <protection locked="0" hidden="1"/>
    </xf>
    <xf numFmtId="0" fontId="4" fillId="2" borderId="0" xfId="0" applyFont="1" applyFill="1" applyProtection="1">
      <protection hidden="1"/>
    </xf>
    <xf numFmtId="0" fontId="0" fillId="2" borderId="10" xfId="0" applyFill="1" applyBorder="1" applyProtection="1">
      <protection hidden="1"/>
    </xf>
    <xf numFmtId="0" fontId="4" fillId="3" borderId="0" xfId="0" applyFont="1" applyFill="1" applyProtection="1">
      <protection hidden="1"/>
    </xf>
    <xf numFmtId="0" fontId="4" fillId="3" borderId="6" xfId="0" applyFont="1" applyFill="1" applyBorder="1" applyProtection="1">
      <protection hidden="1"/>
    </xf>
    <xf numFmtId="0" fontId="4" fillId="2" borderId="0" xfId="0" applyFont="1" applyFill="1" applyBorder="1" applyAlignment="1" applyProtection="1">
      <alignment horizontal="center"/>
      <protection hidden="1"/>
    </xf>
    <xf numFmtId="0" fontId="4" fillId="0" borderId="0" xfId="0" applyFont="1" applyProtection="1">
      <protection hidden="1"/>
    </xf>
    <xf numFmtId="0" fontId="4" fillId="3" borderId="0" xfId="0" applyFont="1" applyFill="1" applyBorder="1" applyAlignment="1" applyProtection="1">
      <protection hidden="1"/>
    </xf>
    <xf numFmtId="0" fontId="0" fillId="0" borderId="0" xfId="0" applyBorder="1" applyProtection="1">
      <protection locked="0" hidden="1"/>
    </xf>
    <xf numFmtId="0" fontId="2" fillId="0" borderId="0" xfId="0" applyFont="1" applyProtection="1">
      <protection locked="0" hidden="1"/>
    </xf>
    <xf numFmtId="0" fontId="4" fillId="2" borderId="5" xfId="0" applyFont="1" applyFill="1" applyBorder="1" applyProtection="1">
      <protection locked="0" hidden="1"/>
    </xf>
    <xf numFmtId="0" fontId="4" fillId="2" borderId="0" xfId="0" applyFont="1" applyFill="1" applyBorder="1" applyProtection="1">
      <protection locked="0" hidden="1"/>
    </xf>
    <xf numFmtId="0" fontId="5" fillId="0" borderId="2" xfId="0" applyFont="1" applyFill="1" applyBorder="1" applyProtection="1">
      <protection locked="0" hidden="1"/>
    </xf>
    <xf numFmtId="0" fontId="5" fillId="0" borderId="3" xfId="0" applyFont="1" applyFill="1" applyBorder="1" applyAlignment="1" applyProtection="1">
      <alignment horizontal="right"/>
      <protection locked="0" hidden="1"/>
    </xf>
    <xf numFmtId="0" fontId="5" fillId="0" borderId="4" xfId="0" applyFont="1" applyFill="1" applyBorder="1" applyProtection="1">
      <protection locked="0" hidden="1"/>
    </xf>
    <xf numFmtId="0" fontId="0" fillId="0" borderId="5" xfId="0" applyFill="1" applyBorder="1" applyProtection="1">
      <protection locked="0" hidden="1"/>
    </xf>
    <xf numFmtId="0" fontId="0" fillId="4" borderId="0" xfId="0" applyFill="1" applyBorder="1" applyAlignment="1" applyProtection="1">
      <alignment horizontal="center"/>
      <protection locked="0" hidden="1"/>
    </xf>
    <xf numFmtId="0" fontId="0" fillId="0" borderId="6" xfId="0" applyBorder="1" applyAlignment="1" applyProtection="1">
      <alignment horizontal="center" vertical="center"/>
      <protection locked="0" hidden="1"/>
    </xf>
    <xf numFmtId="0" fontId="0" fillId="4" borderId="13" xfId="0" applyFill="1" applyBorder="1" applyAlignment="1" applyProtection="1">
      <alignment horizontal="center"/>
      <protection locked="0" hidden="1"/>
    </xf>
    <xf numFmtId="0" fontId="4" fillId="2" borderId="5" xfId="0" quotePrefix="1" applyFont="1" applyFill="1" applyBorder="1" applyProtection="1">
      <protection locked="0" hidden="1"/>
    </xf>
    <xf numFmtId="0" fontId="0" fillId="4" borderId="11" xfId="0" applyFill="1" applyBorder="1" applyAlignment="1" applyProtection="1">
      <alignment horizontal="center"/>
      <protection locked="0" hidden="1"/>
    </xf>
    <xf numFmtId="0" fontId="0" fillId="4" borderId="1" xfId="0" applyFill="1" applyBorder="1" applyAlignment="1" applyProtection="1">
      <alignment horizontal="center"/>
      <protection locked="0" hidden="1"/>
    </xf>
    <xf numFmtId="0" fontId="0" fillId="4" borderId="8" xfId="0" applyFill="1" applyBorder="1" applyAlignment="1" applyProtection="1">
      <alignment horizontal="center"/>
      <protection locked="0" hidden="1"/>
    </xf>
    <xf numFmtId="0" fontId="0" fillId="0" borderId="0" xfId="0" applyFill="1" applyBorder="1" applyProtection="1">
      <protection locked="0" hidden="1"/>
    </xf>
    <xf numFmtId="0" fontId="0" fillId="2" borderId="5" xfId="0" applyFill="1" applyBorder="1" applyProtection="1">
      <protection locked="0" hidden="1"/>
    </xf>
    <xf numFmtId="0" fontId="0" fillId="4" borderId="3" xfId="0" applyFill="1" applyBorder="1" applyAlignment="1" applyProtection="1">
      <alignment horizontal="center"/>
      <protection locked="0" hidden="1"/>
    </xf>
    <xf numFmtId="0" fontId="0" fillId="0" borderId="7" xfId="0" applyFill="1" applyBorder="1" applyProtection="1">
      <protection locked="0" hidden="1"/>
    </xf>
    <xf numFmtId="0" fontId="0" fillId="0" borderId="8" xfId="0" applyBorder="1" applyProtection="1">
      <protection locked="0" hidden="1"/>
    </xf>
    <xf numFmtId="0" fontId="0" fillId="0" borderId="9" xfId="0" applyBorder="1" applyAlignment="1" applyProtection="1">
      <alignment horizontal="center" vertical="center"/>
      <protection locked="0" hidden="1"/>
    </xf>
    <xf numFmtId="0" fontId="4" fillId="0" borderId="5" xfId="0" applyFont="1" applyFill="1" applyBorder="1" applyProtection="1">
      <protection locked="0" hidden="1"/>
    </xf>
    <xf numFmtId="0" fontId="4" fillId="0" borderId="7" xfId="0" applyFont="1" applyFill="1" applyBorder="1" applyProtection="1">
      <protection locked="0" hidden="1"/>
    </xf>
    <xf numFmtId="0" fontId="8" fillId="0" borderId="0" xfId="0" applyFont="1" applyProtection="1">
      <protection hidden="1"/>
    </xf>
    <xf numFmtId="0" fontId="4" fillId="6" borderId="5" xfId="0" applyFont="1" applyFill="1" applyBorder="1" applyProtection="1">
      <protection hidden="1"/>
    </xf>
    <xf numFmtId="0" fontId="4" fillId="6" borderId="0" xfId="0" applyFont="1" applyFill="1" applyBorder="1" applyProtection="1">
      <protection hidden="1"/>
    </xf>
    <xf numFmtId="0" fontId="11" fillId="3" borderId="5" xfId="0" applyFont="1" applyFill="1" applyBorder="1" applyProtection="1">
      <protection hidden="1"/>
    </xf>
    <xf numFmtId="0" fontId="11" fillId="3" borderId="0" xfId="0" applyFont="1" applyFill="1" applyBorder="1" applyProtection="1">
      <protection hidden="1"/>
    </xf>
    <xf numFmtId="0" fontId="0" fillId="0" borderId="0" xfId="0" quotePrefix="1" applyBorder="1" applyAlignment="1" applyProtection="1">
      <alignment horizontal="left"/>
      <protection hidden="1"/>
    </xf>
    <xf numFmtId="0" fontId="0" fillId="0" borderId="0" xfId="0" applyBorder="1" applyAlignment="1" applyProtection="1">
      <alignment horizontal="left"/>
      <protection hidden="1"/>
    </xf>
    <xf numFmtId="0" fontId="0" fillId="2" borderId="0" xfId="0" quotePrefix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/>
      <protection hidden="1"/>
    </xf>
    <xf numFmtId="0" fontId="4" fillId="2" borderId="10" xfId="0" applyFont="1" applyFill="1" applyBorder="1" applyAlignment="1" applyProtection="1">
      <alignment horizontal="center"/>
      <protection locked="0" hidden="1"/>
    </xf>
    <xf numFmtId="0" fontId="4" fillId="2" borderId="12" xfId="0" applyFont="1" applyFill="1" applyBorder="1" applyAlignment="1" applyProtection="1">
      <alignment horizontal="center"/>
      <protection locked="0" hidden="1"/>
    </xf>
    <xf numFmtId="0" fontId="5" fillId="0" borderId="0" xfId="0" applyFont="1" applyFill="1" applyBorder="1" applyAlignment="1" applyProtection="1">
      <alignment horizontal="center"/>
      <protection hidden="1"/>
    </xf>
    <xf numFmtId="0" fontId="5" fillId="0" borderId="6" xfId="0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 vertical="center"/>
      <protection locked="0" hidden="1"/>
    </xf>
    <xf numFmtId="0" fontId="5" fillId="0" borderId="5" xfId="0" applyFont="1" applyFill="1" applyBorder="1" applyAlignment="1" applyProtection="1">
      <alignment horizontal="center"/>
      <protection hidden="1"/>
    </xf>
    <xf numFmtId="0" fontId="0" fillId="0" borderId="8" xfId="0" applyFill="1" applyBorder="1" applyAlignment="1" applyProtection="1">
      <alignment horizontal="right" vertical="center"/>
      <protection locked="0" hidden="1"/>
    </xf>
    <xf numFmtId="0" fontId="0" fillId="0" borderId="0" xfId="0" applyFill="1" applyBorder="1" applyAlignment="1" applyProtection="1">
      <alignment horizontal="center"/>
      <protection locked="0" hidden="1"/>
    </xf>
    <xf numFmtId="0" fontId="0" fillId="0" borderId="6" xfId="0" applyBorder="1" applyAlignment="1" applyProtection="1">
      <alignment horizontal="center" vertical="center"/>
      <protection locked="0" hidden="1"/>
    </xf>
    <xf numFmtId="0" fontId="0" fillId="0" borderId="9" xfId="0" applyBorder="1" applyAlignment="1" applyProtection="1">
      <alignment horizontal="center" vertical="center"/>
      <protection locked="0" hidden="1"/>
    </xf>
    <xf numFmtId="0" fontId="5" fillId="0" borderId="5" xfId="0" quotePrefix="1" applyFont="1" applyFill="1" applyBorder="1" applyAlignment="1" applyProtection="1">
      <alignment horizontal="center"/>
      <protection locked="0" hidden="1"/>
    </xf>
    <xf numFmtId="0" fontId="5" fillId="0" borderId="0" xfId="0" applyFont="1" applyFill="1" applyBorder="1" applyAlignment="1" applyProtection="1">
      <alignment horizontal="center"/>
      <protection locked="0" hidden="1"/>
    </xf>
    <xf numFmtId="0" fontId="5" fillId="3" borderId="2" xfId="0" applyFont="1" applyFill="1" applyBorder="1" applyAlignment="1" applyProtection="1">
      <alignment horizontal="center"/>
      <protection hidden="1"/>
    </xf>
    <xf numFmtId="0" fontId="5" fillId="3" borderId="3" xfId="0" applyFont="1" applyFill="1" applyBorder="1" applyAlignment="1" applyProtection="1">
      <alignment horizontal="center"/>
      <protection hidden="1"/>
    </xf>
    <xf numFmtId="0" fontId="5" fillId="3" borderId="4" xfId="0" applyFont="1" applyFill="1" applyBorder="1" applyAlignment="1" applyProtection="1">
      <alignment horizontal="center"/>
      <protection hidden="1"/>
    </xf>
    <xf numFmtId="0" fontId="5" fillId="5" borderId="5" xfId="0" applyFont="1" applyFill="1" applyBorder="1" applyAlignment="1" applyProtection="1">
      <alignment horizontal="center"/>
      <protection hidden="1"/>
    </xf>
    <xf numFmtId="0" fontId="5" fillId="5" borderId="0" xfId="0" applyFont="1" applyFill="1" applyBorder="1" applyAlignment="1" applyProtection="1">
      <alignment horizontal="center"/>
      <protection hidden="1"/>
    </xf>
    <xf numFmtId="0" fontId="5" fillId="5" borderId="6" xfId="0" applyFont="1" applyFill="1" applyBorder="1" applyAlignment="1" applyProtection="1">
      <alignment horizontal="center"/>
      <protection hidden="1"/>
    </xf>
    <xf numFmtId="0" fontId="0" fillId="0" borderId="10" xfId="0" applyBorder="1" applyAlignment="1" applyProtection="1">
      <alignment horizontal="center"/>
      <protection locked="0" hidden="1"/>
    </xf>
    <xf numFmtId="0" fontId="0" fillId="0" borderId="12" xfId="0" applyBorder="1" applyAlignment="1" applyProtection="1">
      <alignment horizontal="center"/>
      <protection locked="0" hidden="1"/>
    </xf>
    <xf numFmtId="0" fontId="1" fillId="2" borderId="2" xfId="0" applyFont="1" applyFill="1" applyBorder="1" applyAlignment="1" applyProtection="1">
      <alignment horizontal="center" vertical="center"/>
      <protection hidden="1"/>
    </xf>
    <xf numFmtId="0" fontId="1" fillId="2" borderId="3" xfId="0" applyFont="1" applyFill="1" applyBorder="1" applyAlignment="1" applyProtection="1">
      <alignment horizontal="center" vertical="center"/>
      <protection hidden="1"/>
    </xf>
    <xf numFmtId="0" fontId="1" fillId="2" borderId="4" xfId="0" applyFont="1" applyFill="1" applyBorder="1" applyAlignment="1" applyProtection="1">
      <alignment horizontal="center" vertical="center"/>
      <protection hidden="1"/>
    </xf>
    <xf numFmtId="0" fontId="1" fillId="2" borderId="5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Border="1" applyAlignment="1" applyProtection="1">
      <alignment horizontal="center" vertical="center"/>
      <protection hidden="1"/>
    </xf>
    <xf numFmtId="0" fontId="1" fillId="2" borderId="6" xfId="0" applyFont="1" applyFill="1" applyBorder="1" applyAlignment="1" applyProtection="1">
      <alignment horizontal="center" vertical="center"/>
      <protection hidden="1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1" fillId="2" borderId="8" xfId="0" applyFont="1" applyFill="1" applyBorder="1" applyAlignment="1" applyProtection="1">
      <alignment horizontal="center" vertical="center"/>
      <protection hidden="1"/>
    </xf>
    <xf numFmtId="0" fontId="1" fillId="2" borderId="9" xfId="0" applyFont="1" applyFill="1" applyBorder="1" applyAlignment="1" applyProtection="1">
      <alignment horizontal="center" vertical="center"/>
      <protection hidden="1"/>
    </xf>
    <xf numFmtId="0" fontId="4" fillId="2" borderId="11" xfId="0" applyFont="1" applyFill="1" applyBorder="1" applyAlignment="1" applyProtection="1">
      <alignment horizontal="center"/>
      <protection locked="0" hidden="1"/>
    </xf>
    <xf numFmtId="0" fontId="0" fillId="2" borderId="10" xfId="0" applyFont="1" applyFill="1" applyBorder="1" applyAlignment="1" applyProtection="1">
      <alignment horizontal="center"/>
      <protection locked="0" hidden="1"/>
    </xf>
    <xf numFmtId="0" fontId="0" fillId="2" borderId="11" xfId="0" applyFont="1" applyFill="1" applyBorder="1" applyAlignment="1" applyProtection="1">
      <alignment horizontal="center"/>
      <protection locked="0" hidden="1"/>
    </xf>
    <xf numFmtId="0" fontId="0" fillId="2" borderId="12" xfId="0" applyFont="1" applyFill="1" applyBorder="1" applyAlignment="1" applyProtection="1">
      <alignment horizontal="center"/>
      <protection locked="0" hidden="1"/>
    </xf>
    <xf numFmtId="0" fontId="4" fillId="3" borderId="0" xfId="0" applyFont="1" applyFill="1" applyBorder="1" applyAlignment="1" applyProtection="1">
      <alignment horizontal="center"/>
      <protection hidden="1"/>
    </xf>
    <xf numFmtId="0" fontId="4" fillId="3" borderId="8" xfId="0" applyFont="1" applyFill="1" applyBorder="1" applyAlignment="1" applyProtection="1">
      <alignment horizontal="center"/>
      <protection hidden="1"/>
    </xf>
    <xf numFmtId="0" fontId="10" fillId="6" borderId="5" xfId="0" applyFont="1" applyFill="1" applyBorder="1" applyAlignment="1" applyProtection="1">
      <alignment horizontal="center"/>
      <protection hidden="1"/>
    </xf>
    <xf numFmtId="0" fontId="7" fillId="6" borderId="0" xfId="0" applyFont="1" applyFill="1" applyBorder="1" applyAlignment="1" applyProtection="1">
      <alignment horizontal="center"/>
      <protection hidden="1"/>
    </xf>
    <xf numFmtId="0" fontId="7" fillId="6" borderId="6" xfId="0" applyFont="1" applyFill="1" applyBorder="1" applyAlignment="1" applyProtection="1">
      <alignment horizontal="center"/>
      <protection hidden="1"/>
    </xf>
    <xf numFmtId="10" fontId="4" fillId="2" borderId="10" xfId="0" applyNumberFormat="1" applyFont="1" applyFill="1" applyBorder="1" applyAlignment="1" applyProtection="1">
      <alignment horizontal="center"/>
      <protection locked="0" hidden="1"/>
    </xf>
    <xf numFmtId="9" fontId="4" fillId="2" borderId="10" xfId="0" applyNumberFormat="1" applyFont="1" applyFill="1" applyBorder="1" applyAlignment="1" applyProtection="1">
      <alignment horizontal="center"/>
      <protection locked="0" hidden="1"/>
    </xf>
    <xf numFmtId="0" fontId="4" fillId="2" borderId="1" xfId="0" applyFont="1" applyFill="1" applyBorder="1" applyAlignment="1" applyProtection="1">
      <alignment horizontal="center"/>
      <protection locked="0" hidden="1"/>
    </xf>
    <xf numFmtId="0" fontId="7" fillId="2" borderId="0" xfId="0" applyFont="1" applyFill="1" applyBorder="1" applyAlignment="1" applyProtection="1">
      <alignment horizontal="center"/>
      <protection hidden="1"/>
    </xf>
    <xf numFmtId="0" fontId="7" fillId="2" borderId="6" xfId="0" applyFont="1" applyFill="1" applyBorder="1" applyAlignment="1" applyProtection="1">
      <alignment horizontal="center"/>
      <protection hidden="1"/>
    </xf>
    <xf numFmtId="0" fontId="7" fillId="2" borderId="5" xfId="0" applyFont="1" applyFill="1" applyBorder="1" applyAlignment="1" applyProtection="1">
      <alignment horizontal="center"/>
      <protection hidden="1"/>
    </xf>
    <xf numFmtId="0" fontId="12" fillId="6" borderId="10" xfId="0" applyFont="1" applyFill="1" applyBorder="1" applyAlignment="1" applyProtection="1">
      <alignment horizontal="center"/>
      <protection hidden="1"/>
    </xf>
    <xf numFmtId="0" fontId="12" fillId="6" borderId="11" xfId="0" applyFont="1" applyFill="1" applyBorder="1" applyAlignment="1" applyProtection="1">
      <alignment horizontal="center"/>
      <protection hidden="1"/>
    </xf>
    <xf numFmtId="0" fontId="12" fillId="6" borderId="12" xfId="0" applyFont="1" applyFill="1" applyBorder="1" applyAlignment="1" applyProtection="1">
      <alignment horizontal="center"/>
      <protection hidden="1"/>
    </xf>
  </cellXfs>
  <cellStyles count="1">
    <cellStyle name="Normalny" xfId="0" builtinId="0"/>
  </cellStyles>
  <dxfs count="40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4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  <border>
        <top style="thin">
          <color auto="1"/>
        </top>
        <bottom style="thin">
          <color auto="1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  <border>
        <top style="thin">
          <color auto="1"/>
        </top>
        <bottom style="thin">
          <color auto="1"/>
        </bottom>
      </border>
    </dxf>
    <dxf>
      <font>
        <color rgb="FF9C0006"/>
      </font>
      <fill>
        <patternFill>
          <bgColor rgb="FFFFC7CE"/>
        </patternFill>
      </fill>
      <border>
        <top style="thin">
          <color auto="1"/>
        </top>
        <bottom style="thin">
          <color auto="1"/>
        </bottom>
      </border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BB7C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196216</xdr:colOff>
      <xdr:row>5</xdr:row>
      <xdr:rowOff>68582</xdr:rowOff>
    </xdr:from>
    <xdr:to>
      <xdr:col>6</xdr:col>
      <xdr:colOff>415291</xdr:colOff>
      <xdr:row>18</xdr:row>
      <xdr:rowOff>117621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A33FD7BB-E07F-4337-8E7D-0779566074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7841" y="1192532"/>
          <a:ext cx="2552700" cy="2639839"/>
        </a:xfrm>
        <a:prstGeom prst="rect">
          <a:avLst/>
        </a:prstGeom>
      </xdr:spPr>
    </xdr:pic>
    <xdr:clientData/>
  </xdr:twoCellAnchor>
  <xdr:twoCellAnchor editAs="oneCell">
    <xdr:from>
      <xdr:col>17</xdr:col>
      <xdr:colOff>381000</xdr:colOff>
      <xdr:row>1</xdr:row>
      <xdr:rowOff>161925</xdr:rowOff>
    </xdr:from>
    <xdr:to>
      <xdr:col>25</xdr:col>
      <xdr:colOff>408892</xdr:colOff>
      <xdr:row>26</xdr:row>
      <xdr:rowOff>104142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5F7F7EB5-50C0-4BA7-899B-39084FB069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020550" y="352425"/>
          <a:ext cx="5466667" cy="50666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13273-0126-4C9E-B636-E1D46F8A5FD2}">
  <sheetPr>
    <pageSetUpPr fitToPage="1"/>
  </sheetPr>
  <dimension ref="A1:T75"/>
  <sheetViews>
    <sheetView tabSelected="1" workbookViewId="0"/>
  </sheetViews>
  <sheetFormatPr defaultRowHeight="15"/>
  <cols>
    <col min="1" max="1" width="3.7109375" style="46" customWidth="1"/>
    <col min="2" max="3" width="9.140625" style="46"/>
    <col min="4" max="4" width="16.28515625" style="46" customWidth="1"/>
    <col min="5" max="5" width="9.5703125" style="46" customWidth="1"/>
    <col min="6" max="8" width="9.140625" style="46"/>
    <col min="9" max="9" width="9.85546875" style="46" customWidth="1"/>
    <col min="10" max="10" width="12.85546875" style="46" customWidth="1"/>
    <col min="11" max="11" width="12" style="46" customWidth="1"/>
    <col min="12" max="12" width="11.42578125" style="46" customWidth="1"/>
    <col min="13" max="14" width="10.42578125" style="46" customWidth="1"/>
    <col min="15" max="15" width="9.140625" style="46"/>
    <col min="16" max="16" width="11" style="46" customWidth="1"/>
    <col min="17" max="17" width="12.140625" style="46" customWidth="1"/>
    <col min="18" max="18" width="9.140625" style="46"/>
    <col min="19" max="19" width="13.42578125" style="46" customWidth="1"/>
    <col min="20" max="20" width="13.28515625" style="46" customWidth="1"/>
    <col min="21" max="16384" width="9.140625" style="46"/>
  </cols>
  <sheetData>
    <row r="1" spans="1:17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90" t="s">
        <v>134</v>
      </c>
    </row>
    <row r="2" spans="1:17" ht="15" customHeight="1">
      <c r="A2" s="31"/>
      <c r="B2" s="119" t="s">
        <v>133</v>
      </c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1"/>
    </row>
    <row r="3" spans="1:17" ht="28.9" customHeight="1">
      <c r="A3" s="31"/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4"/>
    </row>
    <row r="4" spans="1:17" ht="15" customHeight="1">
      <c r="A4" s="31"/>
      <c r="B4" s="125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7"/>
    </row>
    <row r="5" spans="1:17">
      <c r="A5" s="31"/>
      <c r="B5" s="47"/>
      <c r="C5" s="48"/>
      <c r="D5" s="48"/>
      <c r="E5" s="48"/>
      <c r="F5" s="48"/>
      <c r="G5" s="48"/>
      <c r="H5" s="48"/>
      <c r="I5" s="48"/>
      <c r="J5" s="47"/>
      <c r="K5" s="48"/>
      <c r="L5" s="48"/>
      <c r="M5" s="48"/>
      <c r="N5" s="48"/>
      <c r="O5" s="48"/>
      <c r="P5" s="48"/>
      <c r="Q5" s="49"/>
    </row>
    <row r="6" spans="1:17" ht="15.75">
      <c r="A6" s="31"/>
      <c r="B6" s="23"/>
      <c r="C6" s="25"/>
      <c r="D6" s="24"/>
      <c r="E6" s="24"/>
      <c r="F6" s="24"/>
      <c r="G6" s="24"/>
      <c r="H6" s="25"/>
      <c r="I6" s="25"/>
      <c r="J6" s="114" t="s">
        <v>89</v>
      </c>
      <c r="K6" s="115"/>
      <c r="L6" s="115"/>
      <c r="M6" s="115"/>
      <c r="N6" s="115"/>
      <c r="O6" s="115"/>
      <c r="P6" s="115"/>
      <c r="Q6" s="116"/>
    </row>
    <row r="7" spans="1:17">
      <c r="A7" s="31"/>
      <c r="B7" s="23"/>
      <c r="C7" s="24"/>
      <c r="D7" s="24"/>
      <c r="E7" s="24"/>
      <c r="F7" s="24"/>
      <c r="G7" s="24"/>
      <c r="H7" s="25"/>
      <c r="I7" s="25"/>
      <c r="J7" s="134" t="s">
        <v>115</v>
      </c>
      <c r="K7" s="135"/>
      <c r="L7" s="135"/>
      <c r="M7" s="135"/>
      <c r="N7" s="135"/>
      <c r="O7" s="135"/>
      <c r="P7" s="135"/>
      <c r="Q7" s="136"/>
    </row>
    <row r="8" spans="1:17" ht="15.75">
      <c r="A8" s="31"/>
      <c r="B8" s="23"/>
      <c r="C8" s="24"/>
      <c r="D8" s="24"/>
      <c r="E8" s="24"/>
      <c r="F8" s="24"/>
      <c r="G8" s="24"/>
      <c r="H8" s="25"/>
      <c r="I8" s="25"/>
      <c r="J8" s="50" t="s">
        <v>5</v>
      </c>
      <c r="K8" s="51"/>
      <c r="L8" s="51"/>
      <c r="M8" s="51" t="s">
        <v>12</v>
      </c>
      <c r="N8" s="51"/>
      <c r="O8" s="51"/>
      <c r="P8" s="51"/>
      <c r="Q8" s="52"/>
    </row>
    <row r="9" spans="1:17" ht="15.75">
      <c r="A9" s="31"/>
      <c r="B9" s="23"/>
      <c r="C9" s="24"/>
      <c r="D9" s="24"/>
      <c r="E9" s="24"/>
      <c r="F9" s="24"/>
      <c r="G9" s="24"/>
      <c r="H9" s="25"/>
      <c r="I9" s="25"/>
      <c r="J9" s="99" t="s">
        <v>88</v>
      </c>
      <c r="K9" s="100"/>
      <c r="L9" s="14"/>
      <c r="M9" s="99" t="s">
        <v>88</v>
      </c>
      <c r="N9" s="100"/>
      <c r="O9" s="14"/>
      <c r="P9" s="14"/>
      <c r="Q9" s="26"/>
    </row>
    <row r="10" spans="1:17" ht="15.75">
      <c r="A10" s="31"/>
      <c r="B10" s="23"/>
      <c r="C10" s="24"/>
      <c r="D10" s="24"/>
      <c r="E10" s="24"/>
      <c r="F10" s="24"/>
      <c r="G10" s="24"/>
      <c r="H10" s="25"/>
      <c r="I10" s="25"/>
      <c r="J10" s="20"/>
      <c r="K10" s="14"/>
      <c r="L10" s="14"/>
      <c r="M10" s="14"/>
      <c r="N10" s="14"/>
      <c r="O10" s="14"/>
      <c r="P10" s="14"/>
      <c r="Q10" s="26"/>
    </row>
    <row r="11" spans="1:17" ht="15.75">
      <c r="A11" s="31"/>
      <c r="B11" s="23"/>
      <c r="C11" s="24"/>
      <c r="D11" s="24"/>
      <c r="E11" s="24"/>
      <c r="F11" s="24"/>
      <c r="G11" s="24"/>
      <c r="H11" s="25"/>
      <c r="I11" s="25"/>
      <c r="J11" s="53" t="s">
        <v>148</v>
      </c>
      <c r="K11" s="51"/>
      <c r="L11" s="51"/>
      <c r="M11" s="51" t="str">
        <f>IF(OR(J12="None - MacBAT 5 T",J12="CHOOSE")," ","Sensor range:")</f>
        <v xml:space="preserve"> </v>
      </c>
      <c r="N11" s="51"/>
      <c r="O11" s="51"/>
      <c r="P11" s="54" t="str">
        <f>IF(OR(J12="External M12x1,5",J12="External NPT 1/4"),"Cable length:"," ")</f>
        <v xml:space="preserve"> </v>
      </c>
      <c r="Q11" s="55"/>
    </row>
    <row r="12" spans="1:17" ht="15.75">
      <c r="A12" s="31"/>
      <c r="B12" s="23"/>
      <c r="C12" s="24"/>
      <c r="D12" s="24"/>
      <c r="E12" s="24"/>
      <c r="F12" s="24"/>
      <c r="G12" s="24"/>
      <c r="H12" s="25"/>
      <c r="I12" s="25"/>
      <c r="J12" s="99" t="s">
        <v>88</v>
      </c>
      <c r="K12" s="100"/>
      <c r="L12" s="14"/>
      <c r="M12" s="99" t="s">
        <v>88</v>
      </c>
      <c r="N12" s="100"/>
      <c r="O12" s="14"/>
      <c r="P12" s="99" t="s">
        <v>88</v>
      </c>
      <c r="Q12" s="100"/>
    </row>
    <row r="13" spans="1:17" ht="15.75">
      <c r="A13" s="31"/>
      <c r="B13" s="23"/>
      <c r="C13" s="24"/>
      <c r="D13" s="24"/>
      <c r="E13" s="24"/>
      <c r="F13" s="24"/>
      <c r="G13" s="24"/>
      <c r="H13" s="25"/>
      <c r="I13" s="25"/>
      <c r="J13" s="20"/>
      <c r="K13" s="14"/>
      <c r="L13" s="14"/>
      <c r="M13" s="14"/>
      <c r="N13" s="14"/>
      <c r="O13" s="14"/>
      <c r="P13" s="14"/>
      <c r="Q13" s="49"/>
    </row>
    <row r="14" spans="1:17" ht="15.75">
      <c r="A14" s="31"/>
      <c r="B14" s="23"/>
      <c r="C14" s="24"/>
      <c r="D14" s="24"/>
      <c r="E14" s="24"/>
      <c r="F14" s="24"/>
      <c r="G14" s="24"/>
      <c r="H14" s="25"/>
      <c r="I14" s="25"/>
      <c r="J14" s="56" t="s">
        <v>150</v>
      </c>
      <c r="K14" s="57"/>
      <c r="L14" s="51"/>
      <c r="M14" s="58" t="s">
        <v>14</v>
      </c>
      <c r="N14" s="58"/>
      <c r="O14" s="51"/>
      <c r="P14" s="57" t="s">
        <v>3</v>
      </c>
      <c r="Q14" s="59"/>
    </row>
    <row r="15" spans="1:17" ht="15.75">
      <c r="A15" s="31"/>
      <c r="B15" s="23"/>
      <c r="C15" s="24"/>
      <c r="D15" s="24"/>
      <c r="E15" s="24"/>
      <c r="F15" s="24"/>
      <c r="G15" s="24"/>
      <c r="H15" s="25"/>
      <c r="I15" s="25"/>
      <c r="J15" s="99" t="s">
        <v>88</v>
      </c>
      <c r="K15" s="100"/>
      <c r="L15" s="14"/>
      <c r="M15" s="99" t="s">
        <v>88</v>
      </c>
      <c r="N15" s="100"/>
      <c r="O15" s="14"/>
      <c r="P15" s="99" t="s">
        <v>88</v>
      </c>
      <c r="Q15" s="100"/>
    </row>
    <row r="16" spans="1:17" ht="15.75">
      <c r="A16" s="31"/>
      <c r="B16" s="23"/>
      <c r="C16" s="24"/>
      <c r="D16" s="24"/>
      <c r="E16" s="24"/>
      <c r="F16" s="24"/>
      <c r="G16" s="24"/>
      <c r="H16" s="25"/>
      <c r="I16" s="25"/>
      <c r="J16" s="20"/>
      <c r="K16" s="60"/>
      <c r="L16" s="60"/>
      <c r="M16" s="60"/>
      <c r="N16" s="60"/>
      <c r="O16" s="60"/>
      <c r="P16" s="60"/>
      <c r="Q16" s="49"/>
    </row>
    <row r="17" spans="1:17" ht="15.75">
      <c r="A17" s="31"/>
      <c r="B17" s="23"/>
      <c r="C17" s="24"/>
      <c r="D17" s="24"/>
      <c r="E17" s="24"/>
      <c r="F17" s="24"/>
      <c r="G17" s="24"/>
      <c r="H17" s="24"/>
      <c r="I17" s="24"/>
      <c r="J17" s="56" t="s">
        <v>149</v>
      </c>
      <c r="K17" s="57"/>
      <c r="L17" s="51"/>
      <c r="M17" s="57" t="str">
        <f>IF(OR(J18="N/A",J18="CHOOSE")," ","Sensor range:")</f>
        <v xml:space="preserve"> </v>
      </c>
      <c r="N17" s="57"/>
      <c r="O17" s="51"/>
      <c r="P17" s="57" t="str">
        <f>IF(OR(J18="External M12x1,5",J18="External NPT 1/4"),"Cable length:"," ")</f>
        <v xml:space="preserve"> </v>
      </c>
      <c r="Q17" s="59"/>
    </row>
    <row r="18" spans="1:17" ht="15.75">
      <c r="A18" s="31"/>
      <c r="B18" s="23"/>
      <c r="C18" s="24"/>
      <c r="D18" s="24"/>
      <c r="E18" s="24"/>
      <c r="F18" s="24"/>
      <c r="G18" s="24"/>
      <c r="H18" s="24"/>
      <c r="I18" s="24"/>
      <c r="J18" s="99" t="s">
        <v>88</v>
      </c>
      <c r="K18" s="100"/>
      <c r="L18" s="14"/>
      <c r="M18" s="99" t="s">
        <v>88</v>
      </c>
      <c r="N18" s="100"/>
      <c r="O18" s="14"/>
      <c r="P18" s="99" t="s">
        <v>88</v>
      </c>
      <c r="Q18" s="100"/>
    </row>
    <row r="19" spans="1:17">
      <c r="A19" s="31"/>
      <c r="B19" s="23"/>
      <c r="C19" s="24"/>
      <c r="D19" s="24"/>
      <c r="E19" s="24"/>
      <c r="F19" s="24"/>
      <c r="G19" s="24"/>
      <c r="H19" s="24"/>
      <c r="I19" s="24"/>
      <c r="J19" s="61"/>
      <c r="K19" s="25"/>
      <c r="L19" s="25"/>
      <c r="M19" s="25"/>
      <c r="N19" s="25"/>
      <c r="O19" s="25"/>
      <c r="P19" s="24"/>
      <c r="Q19" s="26"/>
    </row>
    <row r="20" spans="1:17" ht="15.75">
      <c r="A20" s="31"/>
      <c r="B20" s="20"/>
      <c r="C20" s="21"/>
      <c r="D20" s="21"/>
      <c r="E20" s="21"/>
      <c r="F20" s="21"/>
      <c r="G20" s="21"/>
      <c r="H20" s="21"/>
      <c r="I20" s="22"/>
      <c r="J20" s="20"/>
      <c r="K20" s="21"/>
      <c r="L20" s="21"/>
      <c r="M20" s="21"/>
      <c r="N20" s="21"/>
      <c r="O20" s="21"/>
      <c r="P20" s="21"/>
      <c r="Q20" s="22"/>
    </row>
    <row r="21" spans="1:17" ht="15.75">
      <c r="A21" s="31"/>
      <c r="B21" s="114" t="s">
        <v>20</v>
      </c>
      <c r="C21" s="115"/>
      <c r="D21" s="115"/>
      <c r="E21" s="115"/>
      <c r="F21" s="115"/>
      <c r="G21" s="115"/>
      <c r="H21" s="115"/>
      <c r="I21" s="116"/>
      <c r="J21" s="114" t="s">
        <v>15</v>
      </c>
      <c r="K21" s="115"/>
      <c r="L21" s="115"/>
      <c r="M21" s="115"/>
      <c r="N21" s="115"/>
      <c r="O21" s="115"/>
      <c r="P21" s="115"/>
      <c r="Q21" s="116"/>
    </row>
    <row r="22" spans="1:17" ht="15.75">
      <c r="A22" s="31"/>
      <c r="B22" s="13"/>
      <c r="C22" s="14"/>
      <c r="D22" s="14"/>
      <c r="E22" s="14"/>
      <c r="F22" s="14"/>
      <c r="G22" s="14"/>
      <c r="H22" s="14"/>
      <c r="I22" s="15"/>
      <c r="J22" s="13"/>
      <c r="K22" s="14"/>
      <c r="L22" s="14"/>
      <c r="M22" s="14"/>
      <c r="N22" s="14"/>
      <c r="O22" s="14"/>
      <c r="P22" s="14"/>
      <c r="Q22" s="15"/>
    </row>
    <row r="23" spans="1:17" ht="15.75">
      <c r="A23" s="31"/>
      <c r="B23" s="50" t="s">
        <v>117</v>
      </c>
      <c r="C23" s="51"/>
      <c r="D23" s="51"/>
      <c r="E23" s="51"/>
      <c r="F23" s="132" t="s">
        <v>8</v>
      </c>
      <c r="G23" s="132"/>
      <c r="H23" s="62"/>
      <c r="I23" s="63"/>
      <c r="J23" s="50" t="s">
        <v>120</v>
      </c>
      <c r="K23" s="51"/>
      <c r="L23" s="51"/>
      <c r="M23" s="51" t="s">
        <v>121</v>
      </c>
      <c r="N23" s="51"/>
      <c r="O23" s="51"/>
      <c r="P23" s="51" t="s">
        <v>122</v>
      </c>
      <c r="Q23" s="63"/>
    </row>
    <row r="24" spans="1:17" ht="16.899999999999999" customHeight="1">
      <c r="B24" s="129" t="s">
        <v>88</v>
      </c>
      <c r="C24" s="130"/>
      <c r="D24" s="131"/>
      <c r="E24" s="64"/>
      <c r="F24" s="99" t="s">
        <v>88</v>
      </c>
      <c r="G24" s="128"/>
      <c r="H24" s="100"/>
      <c r="I24" s="15"/>
      <c r="J24" s="99" t="s">
        <v>88</v>
      </c>
      <c r="K24" s="100"/>
      <c r="L24" s="14"/>
      <c r="M24" s="99" t="s">
        <v>88</v>
      </c>
      <c r="N24" s="100"/>
      <c r="O24" s="14"/>
      <c r="P24" s="99" t="s">
        <v>88</v>
      </c>
      <c r="Q24" s="100"/>
    </row>
    <row r="25" spans="1:17" ht="15.75">
      <c r="A25" s="31"/>
      <c r="B25" s="13"/>
      <c r="C25" s="14"/>
      <c r="D25" s="14"/>
      <c r="E25" s="14"/>
      <c r="F25" s="14"/>
      <c r="G25" s="14"/>
      <c r="H25" s="60"/>
      <c r="I25" s="15"/>
      <c r="J25" s="13"/>
      <c r="K25" s="14"/>
      <c r="L25" s="14"/>
      <c r="M25" s="14"/>
      <c r="N25" s="14"/>
      <c r="O25" s="14"/>
      <c r="P25" s="14"/>
      <c r="Q25" s="15"/>
    </row>
    <row r="26" spans="1:17" ht="15.75">
      <c r="A26" s="31"/>
      <c r="B26" s="50" t="s">
        <v>118</v>
      </c>
      <c r="C26" s="51"/>
      <c r="D26" s="51"/>
      <c r="E26" s="51"/>
      <c r="F26" s="133" t="s">
        <v>119</v>
      </c>
      <c r="G26" s="133"/>
      <c r="H26" s="62"/>
      <c r="I26" s="63"/>
      <c r="J26" s="50" t="s">
        <v>123</v>
      </c>
      <c r="K26" s="51"/>
      <c r="L26" s="51"/>
      <c r="M26" s="51" t="s">
        <v>124</v>
      </c>
      <c r="N26" s="51"/>
      <c r="O26" s="51"/>
      <c r="P26" s="51" t="s">
        <v>125</v>
      </c>
      <c r="Q26" s="63"/>
    </row>
    <row r="27" spans="1:17" ht="14.45" customHeight="1">
      <c r="B27" s="99" t="s">
        <v>88</v>
      </c>
      <c r="C27" s="128"/>
      <c r="D27" s="100"/>
      <c r="E27" s="64"/>
      <c r="F27" s="99" t="s">
        <v>88</v>
      </c>
      <c r="G27" s="128"/>
      <c r="H27" s="100"/>
      <c r="I27" s="65"/>
      <c r="J27" s="99" t="s">
        <v>88</v>
      </c>
      <c r="K27" s="100"/>
      <c r="L27" s="14"/>
      <c r="M27" s="99" t="s">
        <v>88</v>
      </c>
      <c r="N27" s="100"/>
      <c r="O27" s="14"/>
      <c r="P27" s="99" t="s">
        <v>88</v>
      </c>
      <c r="Q27" s="100"/>
    </row>
    <row r="28" spans="1:17" ht="15.75">
      <c r="A28" s="31"/>
      <c r="B28" s="20"/>
      <c r="C28" s="60"/>
      <c r="D28" s="60"/>
      <c r="E28" s="60"/>
      <c r="F28" s="60"/>
      <c r="G28" s="60"/>
      <c r="H28" s="60"/>
      <c r="I28" s="60"/>
      <c r="J28" s="13"/>
      <c r="K28" s="14"/>
      <c r="L28" s="14"/>
      <c r="M28" s="14"/>
      <c r="N28" s="14"/>
      <c r="O28" s="14"/>
      <c r="P28" s="14"/>
      <c r="Q28" s="15"/>
    </row>
    <row r="29" spans="1:17" ht="15.75">
      <c r="A29" s="31"/>
      <c r="B29" s="50" t="s">
        <v>64</v>
      </c>
      <c r="C29" s="62"/>
      <c r="D29" s="62"/>
      <c r="E29" s="62"/>
      <c r="F29" s="62"/>
      <c r="G29" s="62"/>
      <c r="H29" s="66"/>
      <c r="I29" s="62"/>
      <c r="J29" s="50" t="s">
        <v>90</v>
      </c>
      <c r="K29" s="51"/>
      <c r="L29" s="51"/>
      <c r="M29" s="51" t="s">
        <v>93</v>
      </c>
      <c r="N29" s="51"/>
      <c r="O29" s="51"/>
      <c r="P29" s="51"/>
      <c r="Q29" s="63"/>
    </row>
    <row r="30" spans="1:17" ht="15.75">
      <c r="B30" s="99" t="s">
        <v>88</v>
      </c>
      <c r="C30" s="128"/>
      <c r="D30" s="100"/>
      <c r="E30" s="14"/>
      <c r="F30" s="14"/>
      <c r="G30" s="14"/>
      <c r="H30" s="14"/>
      <c r="I30" s="15"/>
      <c r="J30" s="99" t="s">
        <v>48</v>
      </c>
      <c r="K30" s="100"/>
      <c r="L30" s="14"/>
      <c r="M30" s="139" t="s">
        <v>116</v>
      </c>
      <c r="N30" s="139"/>
      <c r="O30" s="14"/>
      <c r="P30" s="14"/>
      <c r="Q30" s="15"/>
    </row>
    <row r="31" spans="1:17" ht="15.75">
      <c r="A31" s="31"/>
      <c r="B31" s="13"/>
      <c r="C31" s="14"/>
      <c r="D31" s="14"/>
      <c r="E31" s="14"/>
      <c r="F31" s="14"/>
      <c r="G31" s="14"/>
      <c r="H31" s="14"/>
      <c r="I31" s="15"/>
      <c r="J31" s="13"/>
      <c r="K31" s="14"/>
      <c r="L31" s="14"/>
      <c r="M31" s="14"/>
      <c r="N31" s="14"/>
      <c r="O31" s="14"/>
      <c r="P31" s="14"/>
      <c r="Q31" s="15"/>
    </row>
    <row r="32" spans="1:17" ht="15.75">
      <c r="A32" s="31"/>
      <c r="B32" s="13"/>
      <c r="C32" s="14"/>
      <c r="D32" s="14"/>
      <c r="E32" s="14"/>
      <c r="F32" s="14"/>
      <c r="G32" s="14"/>
      <c r="H32" s="14"/>
      <c r="I32" s="14"/>
      <c r="J32" s="93" t="s">
        <v>91</v>
      </c>
      <c r="K32" s="51"/>
      <c r="L32" s="51"/>
      <c r="M32" s="94" t="s">
        <v>92</v>
      </c>
      <c r="N32" s="51"/>
      <c r="O32" s="51"/>
      <c r="P32" s="51"/>
      <c r="Q32" s="63"/>
    </row>
    <row r="33" spans="1:20" ht="15.75">
      <c r="A33" s="31"/>
      <c r="B33" s="13"/>
      <c r="C33" s="14"/>
      <c r="D33" s="14"/>
      <c r="E33" s="14"/>
      <c r="F33" s="14"/>
      <c r="G33" s="14"/>
      <c r="H33" s="14"/>
      <c r="I33" s="14"/>
      <c r="J33" s="99" t="s">
        <v>88</v>
      </c>
      <c r="K33" s="100"/>
      <c r="L33" s="14"/>
      <c r="M33" s="99" t="s">
        <v>88</v>
      </c>
      <c r="N33" s="100"/>
      <c r="O33" s="14"/>
      <c r="P33" s="14"/>
      <c r="Q33" s="15"/>
    </row>
    <row r="34" spans="1:20" ht="15.75">
      <c r="A34" s="31"/>
      <c r="B34" s="16"/>
      <c r="C34" s="17"/>
      <c r="D34" s="17"/>
      <c r="E34" s="17"/>
      <c r="F34" s="17"/>
      <c r="G34" s="17"/>
      <c r="H34" s="17"/>
      <c r="I34" s="18"/>
      <c r="J34" s="16"/>
      <c r="K34" s="17"/>
      <c r="L34" s="17"/>
      <c r="M34" s="17"/>
      <c r="N34" s="17"/>
      <c r="O34" s="17"/>
      <c r="P34" s="17"/>
      <c r="Q34" s="18"/>
    </row>
    <row r="35" spans="1:20" ht="15.75">
      <c r="A35" s="31"/>
      <c r="B35" s="20"/>
      <c r="C35" s="21"/>
      <c r="D35" s="21"/>
      <c r="E35" s="21"/>
      <c r="F35" s="21"/>
      <c r="G35" s="21"/>
      <c r="H35" s="21"/>
      <c r="I35" s="22"/>
      <c r="J35" s="20"/>
      <c r="K35" s="21"/>
      <c r="L35" s="21"/>
      <c r="M35" s="21"/>
      <c r="N35" s="21"/>
      <c r="O35" s="21"/>
      <c r="P35" s="21"/>
      <c r="Q35" s="22"/>
    </row>
    <row r="36" spans="1:20" ht="15.75">
      <c r="A36" s="31"/>
      <c r="B36" s="114" t="s">
        <v>38</v>
      </c>
      <c r="C36" s="115"/>
      <c r="D36" s="115"/>
      <c r="E36" s="115"/>
      <c r="F36" s="115"/>
      <c r="G36" s="115"/>
      <c r="H36" s="115"/>
      <c r="I36" s="116"/>
      <c r="J36" s="114" t="s">
        <v>96</v>
      </c>
      <c r="K36" s="115"/>
      <c r="L36" s="115"/>
      <c r="M36" s="115"/>
      <c r="N36" s="115"/>
      <c r="O36" s="115"/>
      <c r="P36" s="115"/>
      <c r="Q36" s="116"/>
    </row>
    <row r="37" spans="1:20" ht="15.75">
      <c r="A37" s="31"/>
      <c r="B37" s="13"/>
      <c r="C37" s="14"/>
      <c r="D37" s="14"/>
      <c r="E37" s="14"/>
      <c r="F37" s="14"/>
      <c r="G37" s="14"/>
      <c r="H37" s="14"/>
      <c r="I37" s="15"/>
      <c r="J37" s="13"/>
      <c r="K37" s="14"/>
      <c r="L37" s="14"/>
      <c r="M37" s="14"/>
      <c r="N37" s="14"/>
      <c r="O37" s="14"/>
      <c r="P37" s="14"/>
      <c r="Q37" s="15"/>
    </row>
    <row r="38" spans="1:20" ht="15.75">
      <c r="A38" s="31"/>
      <c r="B38" s="50" t="s">
        <v>127</v>
      </c>
      <c r="C38" s="51"/>
      <c r="D38" s="51"/>
      <c r="E38" s="51"/>
      <c r="F38" s="51" t="s">
        <v>126</v>
      </c>
      <c r="G38" s="51"/>
      <c r="H38" s="51"/>
      <c r="I38" s="63"/>
      <c r="J38" s="50" t="s">
        <v>111</v>
      </c>
      <c r="K38" s="51"/>
      <c r="L38" s="51"/>
      <c r="M38" s="51" t="s">
        <v>97</v>
      </c>
      <c r="N38" s="51"/>
      <c r="O38" s="51"/>
      <c r="P38" s="51" t="s">
        <v>128</v>
      </c>
      <c r="Q38" s="63"/>
    </row>
    <row r="39" spans="1:20" ht="15.75">
      <c r="B39" s="99" t="s">
        <v>88</v>
      </c>
      <c r="C39" s="100"/>
      <c r="D39" s="14"/>
      <c r="E39" s="14"/>
      <c r="F39" s="99" t="s">
        <v>88</v>
      </c>
      <c r="G39" s="100"/>
      <c r="H39" s="14"/>
      <c r="I39" s="15"/>
      <c r="J39" s="99" t="s">
        <v>88</v>
      </c>
      <c r="K39" s="100"/>
      <c r="L39" s="14"/>
      <c r="M39" s="99" t="s">
        <v>88</v>
      </c>
      <c r="N39" s="100"/>
      <c r="O39" s="14"/>
      <c r="P39" s="99" t="s">
        <v>88</v>
      </c>
      <c r="Q39" s="100"/>
    </row>
    <row r="40" spans="1:20" ht="17.45" customHeight="1">
      <c r="A40" s="31"/>
      <c r="B40" s="13"/>
      <c r="C40" s="14"/>
      <c r="D40" s="14"/>
      <c r="E40" s="14"/>
      <c r="F40" s="14"/>
      <c r="G40" s="14"/>
      <c r="H40" s="14"/>
      <c r="I40" s="15"/>
      <c r="J40" s="13"/>
      <c r="K40" s="14"/>
      <c r="L40" s="14"/>
      <c r="M40" s="14"/>
      <c r="N40" s="14"/>
      <c r="O40" s="14"/>
      <c r="P40" s="14"/>
      <c r="Q40" s="15"/>
    </row>
    <row r="41" spans="1:20" ht="17.45" customHeight="1">
      <c r="A41" s="31"/>
      <c r="B41" s="13"/>
      <c r="C41" s="14"/>
      <c r="D41" s="14"/>
      <c r="E41" s="14"/>
      <c r="F41" s="14"/>
      <c r="G41" s="14"/>
      <c r="H41" s="14"/>
      <c r="I41" s="15"/>
      <c r="J41" s="13"/>
      <c r="K41" s="14"/>
      <c r="L41" s="14"/>
      <c r="M41" s="14"/>
      <c r="N41" s="14"/>
      <c r="O41" s="14"/>
      <c r="P41" s="14"/>
      <c r="Q41" s="15"/>
    </row>
    <row r="42" spans="1:20" ht="14.45" customHeight="1">
      <c r="A42" s="31"/>
      <c r="B42" s="13"/>
      <c r="C42" s="14"/>
      <c r="D42" s="14"/>
      <c r="E42" s="14"/>
      <c r="F42" s="14"/>
      <c r="G42" s="14"/>
      <c r="H42" s="14"/>
      <c r="I42" s="15"/>
      <c r="J42" s="13"/>
      <c r="K42" s="14"/>
      <c r="L42" s="14"/>
      <c r="M42" s="14"/>
      <c r="N42" s="14"/>
      <c r="O42" s="14"/>
      <c r="P42" s="14"/>
      <c r="Q42" s="15"/>
    </row>
    <row r="43" spans="1:20" ht="12" customHeight="1">
      <c r="A43" s="31"/>
      <c r="B43" s="16"/>
      <c r="C43" s="17"/>
      <c r="D43" s="17"/>
      <c r="E43" s="17"/>
      <c r="F43" s="17"/>
      <c r="G43" s="17"/>
      <c r="H43" s="17"/>
      <c r="I43" s="18"/>
      <c r="J43" s="16"/>
      <c r="K43" s="17"/>
      <c r="L43" s="19"/>
      <c r="M43" s="19"/>
      <c r="N43" s="19"/>
      <c r="O43" s="19"/>
      <c r="P43" s="19"/>
      <c r="Q43" s="18"/>
    </row>
    <row r="44" spans="1:20">
      <c r="A44" s="31"/>
      <c r="B44" s="143" t="s">
        <v>151</v>
      </c>
      <c r="C44" s="144"/>
      <c r="D44" s="144"/>
      <c r="E44" s="144"/>
      <c r="F44" s="144"/>
      <c r="G44" s="144"/>
      <c r="H44" s="144"/>
      <c r="I44" s="144"/>
      <c r="J44" s="144"/>
      <c r="K44" s="144"/>
      <c r="L44" s="144"/>
      <c r="M44" s="144"/>
      <c r="N44" s="144"/>
      <c r="O44" s="144"/>
      <c r="P44" s="144"/>
      <c r="Q44" s="145"/>
      <c r="R44" s="67"/>
    </row>
    <row r="45" spans="1:20" ht="15.6" customHeight="1">
      <c r="A45" s="31"/>
      <c r="B45" s="104" t="str">
        <f>IF(OR(J24=Arkusz2!K36,Arkusz1!M24=Arkusz2!O39,Arkusz1!M33=Arkusz2!N57,Arkusz1!M33=Arkusz2!N58,P24=Arkusz2!Q39),"DETAILED CONFIGURATION - OWN VALUES FOR BASE CONDITIONS AND GAS COMPOSITION","")</f>
        <v/>
      </c>
      <c r="C45" s="101"/>
      <c r="D45" s="101"/>
      <c r="E45" s="101"/>
      <c r="F45" s="101"/>
      <c r="G45" s="101"/>
      <c r="H45" s="101"/>
      <c r="I45" s="101"/>
      <c r="J45" s="101"/>
      <c r="K45" s="101"/>
      <c r="L45" s="101"/>
      <c r="M45" s="101"/>
      <c r="N45" s="101"/>
      <c r="O45" s="101"/>
      <c r="P45" s="101"/>
      <c r="Q45" s="102"/>
      <c r="R45" s="67"/>
    </row>
    <row r="46" spans="1:20" ht="15.6" customHeight="1">
      <c r="A46" s="31"/>
      <c r="B46" s="142" t="str">
        <f>IF(OR(J24=Arkusz2!K36,Arkusz1!M24=Arkusz2!O39,Arkusz1!M33=Arkusz2!N57,Arkusz1!M33=Arkusz2!N58,P24=Arkusz2!Q39),"Fields mandatory only when not found or not chosen in paragraph BASE CONDITIONS &amp; METROLOGY","")</f>
        <v/>
      </c>
      <c r="C46" s="140"/>
      <c r="D46" s="140"/>
      <c r="E46" s="140"/>
      <c r="F46" s="140"/>
      <c r="G46" s="140"/>
      <c r="H46" s="140"/>
      <c r="I46" s="140"/>
      <c r="J46" s="140"/>
      <c r="K46" s="140"/>
      <c r="L46" s="140"/>
      <c r="M46" s="140"/>
      <c r="N46" s="140"/>
      <c r="O46" s="140"/>
      <c r="P46" s="140"/>
      <c r="Q46" s="141"/>
      <c r="R46" s="67"/>
      <c r="T46" s="68"/>
    </row>
    <row r="47" spans="1:20" ht="14.45" customHeight="1">
      <c r="A47" s="31"/>
      <c r="B47" s="104" t="str">
        <f>IF(AND(J24=Arkusz2!K35,M24&lt;&gt;Arkusz2!M39,P24&lt;&gt;Arkusz2!Q39),"",IF(OR(J24=Arkusz2!K36,M24=Arkusz2!M39,P24=Arkusz2!Q39),"CUSTOM BASE CONDITIONS",""))</f>
        <v/>
      </c>
      <c r="C47" s="101"/>
      <c r="D47" s="101"/>
      <c r="E47" s="101"/>
      <c r="F47" s="14"/>
      <c r="G47" s="101" t="str">
        <f>IF(M33=Arkusz2!N49,"",IF(M33=Arkusz2!N58,"CUSTOM FULL GAS COMPOSITION",""))</f>
        <v/>
      </c>
      <c r="H47" s="101"/>
      <c r="I47" s="101"/>
      <c r="J47" s="101"/>
      <c r="K47" s="101"/>
      <c r="L47" s="101"/>
      <c r="M47" s="101"/>
      <c r="N47" s="101"/>
      <c r="O47" s="101"/>
      <c r="P47" s="101"/>
      <c r="Q47" s="102"/>
      <c r="R47" s="67"/>
    </row>
    <row r="48" spans="1:20" ht="15.75">
      <c r="A48" s="31"/>
      <c r="B48" s="13"/>
      <c r="C48" s="14"/>
      <c r="D48" s="14"/>
      <c r="E48" s="14"/>
      <c r="F48" s="14"/>
      <c r="G48" s="140"/>
      <c r="H48" s="140"/>
      <c r="I48" s="140"/>
      <c r="J48" s="140"/>
      <c r="K48" s="140"/>
      <c r="L48" s="140"/>
      <c r="M48" s="140"/>
      <c r="N48" s="140"/>
      <c r="O48" s="140"/>
      <c r="P48" s="140"/>
      <c r="Q48" s="141"/>
      <c r="R48" s="67"/>
    </row>
    <row r="49" spans="2:18" ht="15.75">
      <c r="B49" s="69" t="str">
        <f>IF(J24=Arkusz2!K35,"",IF(J24=Arkusz2!K36,"Base pressure",""))</f>
        <v/>
      </c>
      <c r="C49" s="70"/>
      <c r="D49" s="99"/>
      <c r="E49" s="100"/>
      <c r="F49" s="14"/>
      <c r="G49" s="71" t="str">
        <f>IF(M33=Arkusz2!N49,"",IF(M33=Arkusz2!N58,"Name",""))</f>
        <v/>
      </c>
      <c r="H49" s="72" t="str">
        <f>IF(M33=Arkusz2!N49,"",IF(M33=Arkusz2!N58,"min [%]",""))</f>
        <v/>
      </c>
      <c r="I49" s="72" t="str">
        <f>IF(M33=Arkusz2!N49,"",IF(M33=Arkusz2!N58,"max [%]",""))</f>
        <v/>
      </c>
      <c r="J49" s="45" t="str">
        <f>IF(M33=Arkusz2!N49,"",IF(M33=Arkusz2!N58,"Molar part",""))</f>
        <v/>
      </c>
      <c r="K49" s="73" t="str">
        <f>IF(M33=Arkusz2!N49,"",IF(M33=Arkusz2!N58,"Correctness",""))</f>
        <v/>
      </c>
      <c r="L49" s="24"/>
      <c r="M49" s="71" t="str">
        <f>IF(M33=Arkusz2!N49,"",IF(M33=Arkusz2!N58,"Name",""))</f>
        <v/>
      </c>
      <c r="N49" s="72" t="str">
        <f>IF(M33=Arkusz2!N49,"",IF(M33=Arkusz2!N58,"min [%]",""))</f>
        <v/>
      </c>
      <c r="O49" s="72" t="str">
        <f>IF(M33=Arkusz2!N49,"",IF(M33=Arkusz2!N58,"max [%]",""))</f>
        <v/>
      </c>
      <c r="P49" s="45" t="str">
        <f>IF(M33=Arkusz2!N49,"",IF(M33=Arkusz2!N58,"Molar part",""))</f>
        <v/>
      </c>
      <c r="Q49" s="73" t="str">
        <f>IF(M33=Arkusz2!N49,"",IF(M33=Arkusz2!N58,"Correctness",""))</f>
        <v/>
      </c>
      <c r="R49" s="67"/>
    </row>
    <row r="50" spans="2:18" ht="15.75">
      <c r="B50" s="69"/>
      <c r="C50" s="70"/>
      <c r="D50" s="70"/>
      <c r="E50" s="70"/>
      <c r="F50" s="14"/>
      <c r="G50" s="74" t="str">
        <f>IF(M33=Arkusz2!N49,"",IF(M33=Arkusz2!N58,"C1",""))</f>
        <v/>
      </c>
      <c r="H50" s="67" t="str">
        <f>IF(M33=Arkusz2!N49,"",IF(M33=Arkusz2!N58,70,""))</f>
        <v/>
      </c>
      <c r="I50" s="67" t="str">
        <f>IF(M33=Arkusz2!N49,"",IF(M33=Arkusz2!N58,100,""))</f>
        <v/>
      </c>
      <c r="J50" s="75"/>
      <c r="K50" s="76" t="str">
        <f>IF(M33=Arkusz2!N49,"",IF(M33=Arkusz2!N58,IF(AND(H50&lt;=J50,I50&gt;=J50),"OK",IF(J50="","NO DATA","ERROR")),""))</f>
        <v/>
      </c>
      <c r="L50" s="24"/>
      <c r="M50" s="74" t="str">
        <f>IF(M33=Arkusz2!N49,"",IF(M33=Arkusz2!N58,"H2",""))</f>
        <v/>
      </c>
      <c r="N50" s="67" t="str">
        <f>IF(M33=Arkusz2!N49,"",IF(M33=Arkusz2!N58,0,""))</f>
        <v/>
      </c>
      <c r="O50" s="67" t="str">
        <f>IF(M33=Arkusz2!N49,"",IF(M33=Arkusz2!N58,10,""))</f>
        <v/>
      </c>
      <c r="P50" s="77"/>
      <c r="Q50" s="76" t="str">
        <f>IF(M33=Arkusz2!N49,"",IF(M33=Arkusz2!N58,IF(AND(N50&lt;=P50,O50&gt;=P50),"OK","ERROR"),""))</f>
        <v/>
      </c>
      <c r="R50" s="67"/>
    </row>
    <row r="51" spans="2:18" ht="15.75">
      <c r="B51" s="78" t="str">
        <f>IF(M24=Arkusz2!M39,"Base temperature","")</f>
        <v/>
      </c>
      <c r="C51" s="70"/>
      <c r="D51" s="117"/>
      <c r="E51" s="118"/>
      <c r="F51" s="14"/>
      <c r="G51" s="74" t="str">
        <f>IF(M33=Arkusz2!N49,"",IF(M33=Arkusz2!N58,"C2",""))</f>
        <v/>
      </c>
      <c r="H51" s="67" t="str">
        <f>IF(M33=Arkusz2!N49,"",IF(M33=Arkusz2!N58,0,""))</f>
        <v/>
      </c>
      <c r="I51" s="67" t="str">
        <f>IF(M33=Arkusz2!N49,"",IF(M33=Arkusz2!N58,10,""))</f>
        <v/>
      </c>
      <c r="J51" s="79"/>
      <c r="K51" s="76" t="str">
        <f>IF(M33=Arkusz2!N49,"",IF(M33=Arkusz2!N58,IF(AND(H51&lt;=J51,I51&gt;=J51),"OK","ERROR"),""))</f>
        <v/>
      </c>
      <c r="L51" s="24"/>
      <c r="M51" s="74" t="str">
        <f>IF(M33=Arkusz2!N49,"",IF(M33=Arkusz2!N58,"N2",""))</f>
        <v/>
      </c>
      <c r="N51" s="67" t="str">
        <f>IF(M33=Arkusz2!N49,"",IF(M33=Arkusz2!N58,0,""))</f>
        <v/>
      </c>
      <c r="O51" s="67" t="str">
        <f>IF(M33=Arkusz2!N49,"",IF(M33=Arkusz2!N58,20,""))</f>
        <v/>
      </c>
      <c r="P51" s="80"/>
      <c r="Q51" s="76" t="str">
        <f>IF(M33=Arkusz2!N49,"",IF(M33=Arkusz2!N58,IF(AND(N51&lt;=P51,O51&gt;=P51),"OK","ERROR"),""))</f>
        <v/>
      </c>
    </row>
    <row r="52" spans="2:18" ht="15.75">
      <c r="B52" s="69"/>
      <c r="C52" s="70"/>
      <c r="D52" s="70"/>
      <c r="E52" s="70"/>
      <c r="F52" s="14"/>
      <c r="G52" s="74" t="str">
        <f>IF(M33=Arkusz2!N49,"",IF(M33=Arkusz2!N58,"C3",""))</f>
        <v/>
      </c>
      <c r="H52" s="67" t="str">
        <f>IF(M33=Arkusz2!N49,"",IF(M33=Arkusz2!N58,0,""))</f>
        <v/>
      </c>
      <c r="I52" s="67" t="str">
        <f>IF(M33=Arkusz2!N49,"",IF(M33=Arkusz2!N58,3.5,""))</f>
        <v/>
      </c>
      <c r="J52" s="79"/>
      <c r="K52" s="76" t="str">
        <f>IF(M33=Arkusz2!N49,"",IF(M33=Arkusz2!N58,IF(AND(H52&lt;=J52,I52&gt;=J52),"OK","ERROR"),""))</f>
        <v/>
      </c>
      <c r="L52" s="24"/>
      <c r="M52" s="74" t="str">
        <f>IF(M33=Arkusz2!N49,"",IF(M33=Arkusz2!N58,"CO2",""))</f>
        <v/>
      </c>
      <c r="N52" s="67" t="str">
        <f>IF(M33=Arkusz2!N49,"",IF(M33=Arkusz2!N58,0,""))</f>
        <v/>
      </c>
      <c r="O52" s="67" t="str">
        <f>IF(M33=Arkusz2!N49,"",IF(M33=Arkusz2!N58,20,""))</f>
        <v/>
      </c>
      <c r="P52" s="80"/>
      <c r="Q52" s="76" t="str">
        <f>IF(M33=Arkusz2!N49,"",IF(M33=Arkusz2!N58,IF(AND(N52&lt;=P52,O52&gt;=P52),"OK","ERROR"),""))</f>
        <v/>
      </c>
    </row>
    <row r="53" spans="2:18" ht="15.75">
      <c r="B53" s="69" t="str">
        <f>IF(P24=Arkusz2!Q39,"T1 temperature","")</f>
        <v/>
      </c>
      <c r="C53" s="70"/>
      <c r="D53" s="99"/>
      <c r="E53" s="100"/>
      <c r="F53" s="14"/>
      <c r="G53" s="74" t="str">
        <f>IF(M33=Arkusz2!N49,"",IF(M33=Arkusz2!N58,"nC4",""))</f>
        <v/>
      </c>
      <c r="H53" s="106" t="str">
        <f>IF(M33=Arkusz2!N49,"",IF(M33=Arkusz2!N58,"Partial sum",""))</f>
        <v/>
      </c>
      <c r="I53" s="106"/>
      <c r="J53" s="81"/>
      <c r="K53" s="107" t="str">
        <f>IF(M33=Arkusz2!N49,"",IF(M33=Arkusz2!N58,IF(AND(H54&lt;=SUM(J53:J54),SUM(J53:J54)&lt;=I54),"OK","ERROR"),""))</f>
        <v/>
      </c>
      <c r="L53" s="24"/>
      <c r="M53" s="74" t="str">
        <f>IF(M33=Arkusz2!N49,"",IF(M33=Arkusz2!N58,"H20",""))</f>
        <v/>
      </c>
      <c r="N53" s="67" t="str">
        <f>IF(M33=Arkusz2!N49,"",IF(M33=Arkusz2!N58,0,""))</f>
        <v/>
      </c>
      <c r="O53" s="67" t="str">
        <f>IF(M33=Arkusz2!N49,"",IF(M33=Arkusz2!N58,0.015,""))</f>
        <v/>
      </c>
      <c r="P53" s="80"/>
      <c r="Q53" s="76" t="str">
        <f>IF(M33=Arkusz2!N49,"",IF(M33=Arkusz2!N58,IF(AND(N53&lt;=P53,O53&gt;=P53),"OK","ERROR"),""))</f>
        <v/>
      </c>
    </row>
    <row r="54" spans="2:18" ht="15.75">
      <c r="B54" s="69"/>
      <c r="C54" s="70"/>
      <c r="D54" s="70"/>
      <c r="E54" s="70"/>
      <c r="F54" s="14"/>
      <c r="G54" s="74" t="str">
        <f>IF(M33=Arkusz2!N49,"",IF(M33=Arkusz2!N58,"iC4",""))</f>
        <v/>
      </c>
      <c r="H54" s="82" t="str">
        <f>IF(M33=Arkusz2!N49,"",IF(M33=Arkusz2!N58,0,""))</f>
        <v/>
      </c>
      <c r="I54" s="82" t="str">
        <f>IF(M33=Arkusz2!N49,"",IF(M33=Arkusz2!N58,1.5,""))</f>
        <v/>
      </c>
      <c r="J54" s="79"/>
      <c r="K54" s="107"/>
      <c r="L54" s="24"/>
      <c r="M54" s="74" t="str">
        <f>IF(M33=Arkusz2!N49,"",IF(M33=Arkusz2!N58,"H2S",""))</f>
        <v/>
      </c>
      <c r="N54" s="67" t="str">
        <f>IF(M33=Arkusz2!N49,"",IF(M33=Arkusz2!N58,0,""))</f>
        <v/>
      </c>
      <c r="O54" s="67" t="str">
        <f>IF(M33=Arkusz2!N49,"",IF(M33=Arkusz2!N58,100,""))</f>
        <v/>
      </c>
      <c r="P54" s="80"/>
      <c r="Q54" s="76" t="str">
        <f>IF(M33=Arkusz2!N49,"",IF(M33=Arkusz2!N58,IF(AND(N54&lt;=P54,O54&gt;=P54),"OK","ERROR"),""))</f>
        <v/>
      </c>
    </row>
    <row r="55" spans="2:18" ht="15.75">
      <c r="B55" s="109" t="str">
        <f>IF(M33=Arkusz2!N49,"",IF(M33=Arkusz2!N57,"CUSTOM SIMPL. GAS COMPOSITION",""))</f>
        <v/>
      </c>
      <c r="C55" s="110"/>
      <c r="D55" s="110"/>
      <c r="E55" s="110"/>
      <c r="F55" s="14"/>
      <c r="G55" s="74" t="str">
        <f>IF(M33=Arkusz2!N49,"",IF(M33=Arkusz2!N58,"nC5",""))</f>
        <v/>
      </c>
      <c r="H55" s="106" t="str">
        <f>IF(M33=Arkusz2!N49,"",IF(M33=Arkusz2!N58,"Partial sum",""))</f>
        <v/>
      </c>
      <c r="I55" s="106"/>
      <c r="J55" s="79"/>
      <c r="K55" s="107" t="str">
        <f>IF(M33=Arkusz2!N49,"",IF(M33=Arkusz2!N58,IF(AND(H56&lt;=SUM(J55:J57),SUM(J55:J57)&lt;=I56),"OK","ERROR"),""))</f>
        <v/>
      </c>
      <c r="L55" s="24"/>
      <c r="M55" s="74" t="str">
        <f>IF(M33=Arkusz2!N49,"",IF(M33=Arkusz2!N58,"CO",""))</f>
        <v/>
      </c>
      <c r="N55" s="67" t="str">
        <f>IF(M33=Arkusz2!N49,"",IF(M33=Arkusz2!N58,0,""))</f>
        <v/>
      </c>
      <c r="O55" s="67" t="str">
        <f>IF(M33=Arkusz2!N49,"",IF(M33=Arkusz2!N58,3,""))</f>
        <v/>
      </c>
      <c r="P55" s="80"/>
      <c r="Q55" s="76" t="str">
        <f>IF(M33=Arkusz2!N49,"",IF(M33=Arkusz2!N58,IF(AND(N55&lt;=P55,O55&gt;=P55),"OK","ERROR"),""))</f>
        <v/>
      </c>
    </row>
    <row r="56" spans="2:18" ht="15.75">
      <c r="B56" s="69"/>
      <c r="C56" s="70"/>
      <c r="D56" s="70"/>
      <c r="E56" s="70"/>
      <c r="F56" s="14"/>
      <c r="G56" s="74" t="str">
        <f>IF(M33=Arkusz2!N49,"",IF(M33=Arkusz2!N58,"iC5",""))</f>
        <v/>
      </c>
      <c r="H56" s="103" t="str">
        <f>IF(M33=Arkusz2!N49,"",IF(M33=Arkusz2!N58,0,""))</f>
        <v/>
      </c>
      <c r="I56" s="103" t="str">
        <f>IF(M33=Arkusz2!N49,"",IF(M33=Arkusz2!N58,0.5,""))</f>
        <v/>
      </c>
      <c r="J56" s="79"/>
      <c r="K56" s="107"/>
      <c r="L56" s="24"/>
      <c r="M56" s="74" t="str">
        <f>IF(M33=Arkusz2!N49,"",IF(M33=Arkusz2!N58,"He",""))</f>
        <v/>
      </c>
      <c r="N56" s="67" t="str">
        <f>IF(M33=Arkusz2!N49,"",IF(M33=Arkusz2!N58,0,""))</f>
        <v/>
      </c>
      <c r="O56" s="67" t="str">
        <f>IF(M33=Arkusz2!N49,"",IF(M33=Arkusz2!N58,0.5,""))</f>
        <v/>
      </c>
      <c r="P56" s="80"/>
      <c r="Q56" s="76" t="str">
        <f>IF(M33=Arkusz2!N49,"",IF(M33=Arkusz2!N58,IF(AND(N56&lt;=P56,O56&gt;=P56),"OK","ERROR"),""))</f>
        <v/>
      </c>
    </row>
    <row r="57" spans="2:18" ht="15.75">
      <c r="B57" s="69" t="str">
        <f>IF(M33=Arkusz2!N49,"",IF(M33=Arkusz2!N57,"Hs",""))</f>
        <v/>
      </c>
      <c r="C57" s="70"/>
      <c r="D57" s="99"/>
      <c r="E57" s="100"/>
      <c r="F57" s="14"/>
      <c r="G57" s="74" t="str">
        <f>IF(M33=Arkusz2!N49,"",IF(M33=Arkusz2!N58,"neoC5",""))</f>
        <v/>
      </c>
      <c r="H57" s="103"/>
      <c r="I57" s="103"/>
      <c r="J57" s="79"/>
      <c r="K57" s="107"/>
      <c r="L57" s="24"/>
      <c r="M57" s="74" t="str">
        <f>IF(M33=Arkusz2!N49,"",IF(M33=Arkusz2!N58,"Ar",""))</f>
        <v/>
      </c>
      <c r="N57" s="67" t="str">
        <f>IF(M33=Arkusz2!N49,"",IF(M33=Arkusz2!N58,0,""))</f>
        <v/>
      </c>
      <c r="O57" s="67" t="str">
        <f>IF(M33=Arkusz2!N49,"",IF(M33=Arkusz2!N58,100,""))</f>
        <v/>
      </c>
      <c r="P57" s="80"/>
      <c r="Q57" s="76" t="str">
        <f>IF(M33=Arkusz2!N49,"",IF(M33=Arkusz2!N58,IF(AND(N57&lt;=P57,O57&gt;=P57),"OK","ERROR"),""))</f>
        <v/>
      </c>
    </row>
    <row r="58" spans="2:18" ht="15.75">
      <c r="B58" s="69"/>
      <c r="C58" s="70"/>
      <c r="D58" s="70"/>
      <c r="E58" s="70"/>
      <c r="F58" s="14"/>
      <c r="G58" s="74" t="str">
        <f>IF(M33=Arkusz2!N49,"",IF(M33=Arkusz2!N58,"C6H14",""))</f>
        <v/>
      </c>
      <c r="H58" s="67" t="str">
        <f>IF(M33=Arkusz2!N49,"",IF(M33=Arkusz2!N58,0,""))</f>
        <v/>
      </c>
      <c r="I58" s="67" t="str">
        <f>IF(M33=Arkusz2!N49,"",IF(M33=Arkusz2!N58,0.1,""))</f>
        <v/>
      </c>
      <c r="J58" s="79"/>
      <c r="K58" s="76" t="str">
        <f>IF(M33=Arkusz2!N49,"",IF(M33=Arkusz2!N58,IF(AND(H58&lt;=J58,I58&gt;=J58),"OK","ERROR"),""))</f>
        <v/>
      </c>
      <c r="L58" s="24"/>
      <c r="M58" s="74" t="str">
        <f>IF(M33=Arkusz2!N49,"",IF(M33=Arkusz2!N58,"O2",""))</f>
        <v/>
      </c>
      <c r="N58" s="67" t="str">
        <f>IF(M33=Arkusz2!N49,"",IF(M33=Arkusz2!N58,0,""))</f>
        <v/>
      </c>
      <c r="O58" s="67" t="str">
        <f>IF(M33=Arkusz2!N49,"",IF(M33=Arkusz2!N58,100,""))</f>
        <v/>
      </c>
      <c r="P58" s="80"/>
      <c r="Q58" s="76" t="str">
        <f>IF(M33=Arkusz2!N49,"",IF(M33=Arkusz2!N58,IF(AND(N58&lt;=P58,O58&gt;=P58),"OK","ERROR"),""))</f>
        <v/>
      </c>
    </row>
    <row r="59" spans="2:18" ht="15.75">
      <c r="B59" s="83" t="str">
        <f>IF(M33=Arkusz2!N49,"",IF(M33=Arkusz2!N57,"d",""))</f>
        <v/>
      </c>
      <c r="C59" s="70"/>
      <c r="D59" s="99"/>
      <c r="E59" s="100"/>
      <c r="F59" s="14"/>
      <c r="G59" s="74" t="str">
        <f>IF(M33=Arkusz2!N49,"",IF(M33=Arkusz2!N58,"C7H16",""))</f>
        <v/>
      </c>
      <c r="H59" s="67" t="str">
        <f>IF(M33=Arkusz2!N49,"",IF(M33=Arkusz2!N58,0,""))</f>
        <v/>
      </c>
      <c r="I59" s="67" t="str">
        <f>IF(M33=Arkusz2!N49,"",IF(M33=Arkusz2!N58,0.05,""))</f>
        <v/>
      </c>
      <c r="J59" s="84"/>
      <c r="K59" s="76" t="str">
        <f>IF(M33=Arkusz2!N49,"",IF(M33=Arkusz2!N58,IF(AND(H59&lt;=J59,I59&gt;=J59),"OK","ERROR"),""))</f>
        <v/>
      </c>
      <c r="L59" s="24"/>
      <c r="M59" s="85" t="str">
        <f>IF(M33=Arkusz2!N49,"",IF(M33=Arkusz2!N58,"C6+",""))</f>
        <v/>
      </c>
      <c r="N59" s="86" t="str">
        <f>IF(M33=Arkusz2!N49,"",IF(M33=Arkusz2!N58,0,""))</f>
        <v/>
      </c>
      <c r="O59" s="86" t="str">
        <f>IF(M33=Arkusz2!N49,"",IF(M33=Arkusz2!N58,0.2,""))</f>
        <v/>
      </c>
      <c r="P59" s="80"/>
      <c r="Q59" s="87" t="str">
        <f>IF(M33=Arkusz2!N49,"",IF(M33=Arkusz2!N58,IF(AND(N59&lt;=P59,O59&gt;=P59),"OK","ERROR"),""))</f>
        <v/>
      </c>
    </row>
    <row r="60" spans="2:18" ht="15.75">
      <c r="B60" s="83"/>
      <c r="C60" s="70"/>
      <c r="D60" s="70"/>
      <c r="E60" s="70"/>
      <c r="F60" s="14"/>
      <c r="G60" s="74" t="str">
        <f>IF(M33=Arkusz2!N49,"",IF(M33=Arkusz2!N58,"C8H18",""))</f>
        <v/>
      </c>
      <c r="H60" s="106" t="str">
        <f>IF(M33=Arkusz2!N49,"",IF(M33=Arkusz2!N58,"Partial sum",""))</f>
        <v/>
      </c>
      <c r="I60" s="106"/>
      <c r="J60" s="79"/>
      <c r="K60" s="107" t="str">
        <f>IF(M33=Arkusz2!N49,"",IF(M33=Arkusz2!N58,IF(AND(H61&lt;=SUM(J60:J62),SUM(J60:J62)&lt;=I61),"OK","ERROR"),""))</f>
        <v/>
      </c>
      <c r="L60" s="24"/>
      <c r="M60" s="24"/>
      <c r="N60" s="24"/>
      <c r="O60" s="24"/>
      <c r="P60" s="24"/>
      <c r="Q60" s="26"/>
    </row>
    <row r="61" spans="2:18" ht="15.75">
      <c r="B61" s="69" t="str">
        <f>IF(M33=Arkusz2!N49,"",IF(M33=Arkusz2!N57,"XCO2",""))</f>
        <v/>
      </c>
      <c r="C61" s="70"/>
      <c r="D61" s="137"/>
      <c r="E61" s="100"/>
      <c r="F61" s="14"/>
      <c r="G61" s="88" t="str">
        <f>IF(M33=Arkusz2!N49,"",IF(M33=Arkusz2!N58,"C9H20",""))</f>
        <v/>
      </c>
      <c r="H61" s="103" t="str">
        <f>IF(M33=Arkusz2!N49,"",IF(M33=Arkusz2!N58,0,""))</f>
        <v/>
      </c>
      <c r="I61" s="103" t="str">
        <f>IF(M33=Arkusz2!N49,"",IF(M33=Arkusz2!N58,0.05,""))</f>
        <v/>
      </c>
      <c r="J61" s="79"/>
      <c r="K61" s="107"/>
      <c r="L61" s="24"/>
      <c r="M61" s="25"/>
      <c r="N61" s="25"/>
      <c r="O61" s="25"/>
      <c r="P61" s="24"/>
      <c r="Q61" s="26"/>
    </row>
    <row r="62" spans="2:18" ht="15.75">
      <c r="B62" s="69"/>
      <c r="C62" s="70"/>
      <c r="D62" s="70"/>
      <c r="E62" s="70"/>
      <c r="F62" s="14"/>
      <c r="G62" s="89" t="str">
        <f>IF(M33=Arkusz2!N49,"",IF(M33=Arkusz2!N58,"C10H22",""))</f>
        <v/>
      </c>
      <c r="H62" s="105"/>
      <c r="I62" s="105"/>
      <c r="J62" s="79"/>
      <c r="K62" s="108"/>
      <c r="L62" s="24"/>
      <c r="M62" s="25"/>
      <c r="N62" s="25"/>
      <c r="O62" s="25"/>
      <c r="P62" s="24"/>
      <c r="Q62" s="26"/>
    </row>
    <row r="63" spans="2:18" ht="15.75">
      <c r="B63" s="69" t="str">
        <f>IF(M33=Arkusz2!N49,"",IF(M33=Arkusz2!N57,"XH2",""))</f>
        <v/>
      </c>
      <c r="C63" s="70"/>
      <c r="D63" s="138"/>
      <c r="E63" s="100"/>
      <c r="F63" s="14"/>
      <c r="G63" s="14"/>
      <c r="H63" s="24"/>
      <c r="I63" s="14"/>
      <c r="J63" s="14"/>
      <c r="K63" s="14"/>
      <c r="L63" s="24"/>
      <c r="M63" s="25"/>
      <c r="N63" s="24"/>
      <c r="O63" s="24"/>
      <c r="P63" s="24"/>
      <c r="Q63" s="26"/>
    </row>
    <row r="64" spans="2:18" ht="15.75">
      <c r="B64" s="69"/>
      <c r="C64" s="70"/>
      <c r="D64" s="70"/>
      <c r="E64" s="70"/>
      <c r="F64" s="14"/>
      <c r="G64" s="14"/>
      <c r="H64" s="24"/>
      <c r="I64" s="27" t="str">
        <f>IF(M33=Arkusz2!N49,"",IF(M33=Arkusz2!N58,"TOTAL GAS COMPOSITION",""))</f>
        <v/>
      </c>
      <c r="J64" s="24"/>
      <c r="K64" s="24"/>
      <c r="L64" s="28" t="str">
        <f>IF(M33=Arkusz2!N49,"",IF(M33=Arkusz2!N58,"IS GAS COMPOSITION CORRECT",""))</f>
        <v/>
      </c>
      <c r="M64" s="24"/>
      <c r="N64" s="24"/>
      <c r="O64" s="25"/>
      <c r="P64" s="24"/>
      <c r="Q64" s="26"/>
    </row>
    <row r="65" spans="1:17" ht="15.75">
      <c r="B65" s="69" t="str">
        <f>IF(M33=Arkusz2!N49,"",IF(M33=Arkusz2!N57,"XN2",""))</f>
        <v/>
      </c>
      <c r="C65" s="70"/>
      <c r="D65" s="137"/>
      <c r="E65" s="100"/>
      <c r="F65" s="14"/>
      <c r="G65" s="14"/>
      <c r="H65" s="14"/>
      <c r="I65" s="29" t="str">
        <f>IF(M33=Arkusz2!N49,"",IF(M33=Arkusz2!N58,SUM(J50:J62)+SUM(P50:P59),""))</f>
        <v/>
      </c>
      <c r="J65" s="24"/>
      <c r="K65" s="24"/>
      <c r="L65" s="30" t="str">
        <f>IF(M33=Arkusz2!N49,"",IF(M33=Arkusz2!N58,IF(AND(I65=100,K53="OK",K55="OK",K60="OK"),"YES","NO"),""))</f>
        <v/>
      </c>
      <c r="M65" s="25"/>
      <c r="N65" s="24"/>
      <c r="O65" s="25"/>
      <c r="P65" s="31"/>
      <c r="Q65" s="26"/>
    </row>
    <row r="66" spans="1:17" ht="15.75">
      <c r="B66" s="69"/>
      <c r="C66" s="70"/>
      <c r="D66" s="70"/>
      <c r="E66" s="70"/>
      <c r="F66" s="14"/>
      <c r="G66" s="14"/>
      <c r="H66" s="14"/>
      <c r="I66" s="14"/>
      <c r="J66" s="14"/>
      <c r="K66" s="14"/>
      <c r="L66" s="14"/>
      <c r="M66" s="31"/>
      <c r="N66" s="14"/>
      <c r="O66" s="14"/>
      <c r="P66" s="14"/>
      <c r="Q66" s="15"/>
    </row>
    <row r="67" spans="1:17" ht="15.75">
      <c r="A67" s="31"/>
      <c r="B67" s="111" t="s">
        <v>16</v>
      </c>
      <c r="C67" s="112"/>
      <c r="D67" s="112"/>
      <c r="E67" s="112"/>
      <c r="F67" s="112"/>
      <c r="G67" s="112"/>
      <c r="H67" s="112"/>
      <c r="I67" s="112"/>
      <c r="J67" s="112"/>
      <c r="K67" s="112"/>
      <c r="L67" s="113"/>
      <c r="M67" s="111" t="s">
        <v>70</v>
      </c>
      <c r="N67" s="112"/>
      <c r="O67" s="112"/>
      <c r="P67" s="112"/>
      <c r="Q67" s="113"/>
    </row>
    <row r="68" spans="1:17" ht="15.75">
      <c r="A68" s="31"/>
      <c r="B68" s="13"/>
      <c r="C68" s="14"/>
      <c r="D68" s="14"/>
      <c r="E68" s="14"/>
      <c r="F68" s="14"/>
      <c r="G68" s="14"/>
      <c r="H68" s="14"/>
      <c r="I68" s="14"/>
      <c r="J68" s="14"/>
      <c r="K68" s="14"/>
      <c r="L68" s="15"/>
      <c r="M68" s="13"/>
      <c r="N68" s="14"/>
      <c r="O68" s="14"/>
      <c r="P68" s="14"/>
      <c r="Q68" s="15"/>
    </row>
    <row r="69" spans="1:17" ht="15.75">
      <c r="A69" s="31"/>
      <c r="B69" s="91" t="s">
        <v>17</v>
      </c>
      <c r="C69" s="92"/>
      <c r="D69" s="92"/>
      <c r="E69" s="95" t="str">
        <f>IF(OR(J9=Arkusz2!C4,Arkusz1!M9=Arkusz2!E4,Arkusz1!J12=Arkusz2!C10,Arkusz1!M12=Arkusz2!G10,Arkusz1!P12=Arkusz2!H10,Arkusz1!J15=Arkusz2!C23,Arkusz1!M15=Arkusz2!F23,Arkusz1!P15=Arkusz2!H23,Arkusz1!J18=Arkusz2!C35,Arkusz1!M18=Arkusz2!F35,Arkusz1!P18=Arkusz2!H35,Arkusz1!B24=Arkusz2!K6,Arkusz1!F24=Arkusz2!O6,Arkusz1!B27=Arkusz2!K14,Arkusz1!F27=Arkusz2!O14,Arkusz1!B30=Arkusz2!K22,Arkusz1!J24=Arkusz2!K34,Arkusz1!M24=Arkusz2!M34,Arkusz1!P24=Arkusz2!O34,Arkusz1!J27=Arkusz2!K43,Arkusz1!M27=Arkusz2!M43,Arkusz1!P27=Arkusz2!O43,Arkusz1!J33=Arkusz2!K55,Arkusz1!M33=Arkusz2!N55,Arkusz1!B39=Arkusz2!C50,Arkusz1!F39=Arkusz2!F50,Arkusz1!J39=Arkusz2!C61,Arkusz1!M39=Arkusz2!F61,Arkusz1!P39=Arkusz2!H61),"INVALID OR MISSING CHOICE - REVIEW YOUR CHOICES.",_xlfn.CONCAT(Arkusz2!C69:'Arkusz2'!Z69))</f>
        <v>INVALID OR MISSING CHOICE - REVIEW YOUR CHOICES.</v>
      </c>
      <c r="F69" s="96"/>
      <c r="G69" s="96"/>
      <c r="H69" s="96"/>
      <c r="I69" s="96"/>
      <c r="J69" s="96"/>
      <c r="K69" s="32"/>
      <c r="L69" s="33"/>
      <c r="M69" s="13"/>
      <c r="N69" s="14"/>
      <c r="O69" s="14"/>
      <c r="P69" s="14"/>
      <c r="Q69" s="15"/>
    </row>
    <row r="70" spans="1:17" ht="15.75">
      <c r="A70" s="31"/>
      <c r="B70" s="13"/>
      <c r="C70" s="14"/>
      <c r="D70" s="14"/>
      <c r="E70" s="97" t="str">
        <f>IF(OR(J9=Arkusz2!C4,Arkusz1!M9=Arkusz2!E4,Arkusz1!J12=Arkusz2!C10,Arkusz1!M12=Arkusz2!G10,Arkusz1!P12=Arkusz2!H10,Arkusz1!J15=Arkusz2!C23,Arkusz1!M15=Arkusz2!F23,Arkusz1!P15=Arkusz2!H23,Arkusz1!J18=Arkusz2!C35,Arkusz1!M18=Arkusz2!F35,Arkusz1!P18=Arkusz2!H35,Arkusz1!B24=Arkusz2!K6,Arkusz1!F24=Arkusz2!O6,Arkusz1!B27=Arkusz2!K14,Arkusz1!F27=Arkusz2!O14,Arkusz1!B30=Arkusz2!K22,Arkusz1!J24=Arkusz2!K34,Arkusz1!M24=Arkusz2!M34,Arkusz1!P24=Arkusz2!O34,Arkusz1!J27=Arkusz2!K43,Arkusz1!M27=Arkusz2!M43,Arkusz1!P27=Arkusz2!O43,Arkusz1!J33=Arkusz2!K55,Arkusz1!M33=Arkusz2!N55,Arkusz1!B39=Arkusz2!C50,Arkusz1!F39=Arkusz2!F50,Arkusz1!J39=Arkusz2!C61,Arkusz1!M39=Arkusz2!F61,Arkusz1!P39=Arkusz2!H61),"ORDER CAN NOT BE PROCEEDED","CODE CORRECT")</f>
        <v>ORDER CAN NOT BE PROCEEDED</v>
      </c>
      <c r="F70" s="98"/>
      <c r="G70" s="98"/>
      <c r="H70" s="98"/>
      <c r="I70" s="98"/>
      <c r="J70" s="98"/>
      <c r="K70" s="34"/>
      <c r="L70" s="35"/>
      <c r="M70" s="13"/>
      <c r="N70" s="14"/>
      <c r="O70" s="14"/>
      <c r="P70" s="14"/>
      <c r="Q70" s="15"/>
    </row>
    <row r="71" spans="1:17">
      <c r="A71" s="31"/>
      <c r="B71" s="23"/>
      <c r="C71" s="24"/>
      <c r="D71" s="24"/>
      <c r="E71" s="36"/>
      <c r="F71" s="36"/>
      <c r="G71" s="36"/>
      <c r="H71" s="36"/>
      <c r="I71" s="36"/>
      <c r="J71" s="24"/>
      <c r="K71" s="24"/>
      <c r="L71" s="26"/>
      <c r="M71" s="23"/>
      <c r="N71" s="24"/>
      <c r="O71" s="24"/>
      <c r="P71" s="24"/>
      <c r="Q71" s="26"/>
    </row>
    <row r="72" spans="1:17" ht="16.149999999999999" customHeight="1">
      <c r="A72" s="31"/>
      <c r="B72" s="23" t="s">
        <v>68</v>
      </c>
      <c r="C72" s="24"/>
      <c r="D72" s="37"/>
      <c r="E72" s="38" t="s">
        <v>69</v>
      </c>
      <c r="F72" s="39"/>
      <c r="G72" s="38" t="str">
        <f>IF(P15=Arkusz2!H23,"",LEFT(P15,4))</f>
        <v/>
      </c>
      <c r="H72" s="40"/>
      <c r="I72" s="36" t="s">
        <v>111</v>
      </c>
      <c r="J72" s="24"/>
      <c r="K72" s="24" t="str">
        <f>IF(J39=Arkusz2!C62,Arkusz2!C62,IF(J39=Arkusz2!C63,Arkusz2!C63,"MISSING"))</f>
        <v>MISSING</v>
      </c>
      <c r="L72" s="26"/>
      <c r="M72" s="23"/>
      <c r="N72" s="24"/>
      <c r="O72" s="24"/>
      <c r="P72" s="24"/>
      <c r="Q72" s="26"/>
    </row>
    <row r="73" spans="1:17" ht="16.149999999999999" customHeight="1">
      <c r="A73" s="31"/>
      <c r="B73" s="23"/>
      <c r="C73" s="24"/>
      <c r="D73" s="37"/>
      <c r="E73" s="38" t="str">
        <f>IF(OR(J12=Arkusz2!C38,J12=Arkusz2!C39),"P1 cable length"," ")</f>
        <v xml:space="preserve"> </v>
      </c>
      <c r="F73" s="39"/>
      <c r="G73" s="38" t="str">
        <f>IF(E73="P1 cable length",LEFT(P12,4),"")</f>
        <v/>
      </c>
      <c r="H73" s="40"/>
      <c r="I73" s="36" t="str">
        <f>IF(OR(M39=Arkusz2!F62,M39=Arkusz2!F63,M39=Arkusz2!F64),"Mounting plate:","")</f>
        <v/>
      </c>
      <c r="J73" s="24"/>
      <c r="K73" s="24" t="str">
        <f>IF(M39=Arkusz2!F62,Arkusz2!F62,IF(M39=Arkusz2!F63,Arkusz2!F63,IF(M39=Arkusz2!F64,Arkusz2!F64,"MISSING")))</f>
        <v>MISSING</v>
      </c>
      <c r="L73" s="26"/>
      <c r="M73" s="23"/>
      <c r="N73" s="24"/>
      <c r="O73" s="24"/>
      <c r="P73" s="24"/>
      <c r="Q73" s="26"/>
    </row>
    <row r="74" spans="1:17" ht="16.149999999999999" customHeight="1">
      <c r="A74" s="31"/>
      <c r="B74" s="23"/>
      <c r="C74" s="24"/>
      <c r="D74" s="37"/>
      <c r="E74" s="38" t="str">
        <f>IF(OR(J18=Arkusz2!C38,J18=Arkusz2!C39),"P2 cable length"," ")</f>
        <v xml:space="preserve"> </v>
      </c>
      <c r="F74" s="39"/>
      <c r="G74" s="38" t="str">
        <f>IF(E74="P2 cable length",LEFT(P18,4),"")</f>
        <v/>
      </c>
      <c r="H74" s="31"/>
      <c r="I74" s="25" t="str">
        <f>IF(OR(P39=Arkusz2!H63,P39=Arkusz2!H64,P39=Arkusz2!H65,P39=Arkusz2!H62,P39=Arkusz2!H66),"Pulse cable:","")</f>
        <v/>
      </c>
      <c r="J74" s="31"/>
      <c r="K74" s="24" t="str">
        <f>IF(P39=Arkusz2!H63,Arkusz2!H63,IF(P39=Arkusz2!H64,Arkusz2!H64,IF(P39=Arkusz2!H65,Arkusz2!H65,IF(P39=Arkusz2!H62,Arkusz2!H62,IF(P39=Arkusz2!H66,"Customized","MISSING")))))</f>
        <v>MISSING</v>
      </c>
      <c r="L74" s="26"/>
      <c r="M74" s="23"/>
      <c r="N74" s="24"/>
      <c r="O74" s="24"/>
      <c r="P74" s="24"/>
      <c r="Q74" s="26"/>
    </row>
    <row r="75" spans="1:17">
      <c r="A75" s="31"/>
      <c r="B75" s="41"/>
      <c r="C75" s="42"/>
      <c r="D75" s="42"/>
      <c r="E75" s="43"/>
      <c r="F75" s="43"/>
      <c r="G75" s="43"/>
      <c r="H75" s="43"/>
      <c r="I75" s="43"/>
      <c r="J75" s="42"/>
      <c r="K75" s="42"/>
      <c r="L75" s="44"/>
      <c r="M75" s="41"/>
      <c r="N75" s="42"/>
      <c r="O75" s="42"/>
      <c r="P75" s="42"/>
      <c r="Q75" s="44"/>
    </row>
  </sheetData>
  <sheetProtection algorithmName="SHA-512" hashValue="K0nXZKHRyclj6wsgHHXAmpdU/StgxbhNbHRCuWKajIy7R4XMDezsl/cnrQqwsHzprVqsNmJPg28l0dISJ/8sLA==" saltValue="4/+247JfPd7tbiUtW8jiWA==" spinCount="100000" sheet="1" objects="1" scenarios="1"/>
  <mergeCells count="69">
    <mergeCell ref="D61:E61"/>
    <mergeCell ref="D63:E63"/>
    <mergeCell ref="D65:E65"/>
    <mergeCell ref="M30:N30"/>
    <mergeCell ref="G48:Q48"/>
    <mergeCell ref="B46:Q46"/>
    <mergeCell ref="J30:K30"/>
    <mergeCell ref="B30:D30"/>
    <mergeCell ref="B44:Q44"/>
    <mergeCell ref="B2:Q4"/>
    <mergeCell ref="B27:D27"/>
    <mergeCell ref="B24:D24"/>
    <mergeCell ref="B21:I21"/>
    <mergeCell ref="J21:Q21"/>
    <mergeCell ref="F23:G23"/>
    <mergeCell ref="J27:K27"/>
    <mergeCell ref="J24:K24"/>
    <mergeCell ref="M27:N27"/>
    <mergeCell ref="P27:Q27"/>
    <mergeCell ref="F24:H24"/>
    <mergeCell ref="F26:G26"/>
    <mergeCell ref="J7:Q7"/>
    <mergeCell ref="F27:H27"/>
    <mergeCell ref="J9:K9"/>
    <mergeCell ref="M15:N15"/>
    <mergeCell ref="M12:N12"/>
    <mergeCell ref="J6:Q6"/>
    <mergeCell ref="P24:Q24"/>
    <mergeCell ref="M24:N24"/>
    <mergeCell ref="P12:Q12"/>
    <mergeCell ref="P15:Q15"/>
    <mergeCell ref="M9:N9"/>
    <mergeCell ref="J12:K12"/>
    <mergeCell ref="P18:Q18"/>
    <mergeCell ref="J15:K15"/>
    <mergeCell ref="J18:K18"/>
    <mergeCell ref="M18:N18"/>
    <mergeCell ref="M67:Q67"/>
    <mergeCell ref="B67:L67"/>
    <mergeCell ref="B36:I36"/>
    <mergeCell ref="J36:Q36"/>
    <mergeCell ref="J33:K33"/>
    <mergeCell ref="M33:N33"/>
    <mergeCell ref="B47:E47"/>
    <mergeCell ref="K53:K54"/>
    <mergeCell ref="H55:I55"/>
    <mergeCell ref="K55:K57"/>
    <mergeCell ref="B39:C39"/>
    <mergeCell ref="D49:E49"/>
    <mergeCell ref="D51:E51"/>
    <mergeCell ref="D53:E53"/>
    <mergeCell ref="D57:E57"/>
    <mergeCell ref="D59:E59"/>
    <mergeCell ref="E69:J69"/>
    <mergeCell ref="E70:J70"/>
    <mergeCell ref="P39:Q39"/>
    <mergeCell ref="G47:Q47"/>
    <mergeCell ref="M39:N39"/>
    <mergeCell ref="H56:H57"/>
    <mergeCell ref="I56:I57"/>
    <mergeCell ref="F39:G39"/>
    <mergeCell ref="B45:Q45"/>
    <mergeCell ref="J39:K39"/>
    <mergeCell ref="I61:I62"/>
    <mergeCell ref="H60:I60"/>
    <mergeCell ref="K60:K62"/>
    <mergeCell ref="H61:H62"/>
    <mergeCell ref="B55:E55"/>
    <mergeCell ref="H53:I53"/>
  </mergeCells>
  <conditionalFormatting sqref="M12">
    <cfRule type="cellIs" dxfId="39" priority="51" operator="equal">
      <formula>$J$12</formula>
    </cfRule>
    <cfRule type="cellIs" dxfId="38" priority="52" operator="equal">
      <formula>"$I$14=""External"""</formula>
    </cfRule>
  </conditionalFormatting>
  <conditionalFormatting sqref="P60:P65">
    <cfRule type="containsText" dxfId="37" priority="47" operator="containsText" text="error">
      <formula>NOT(ISERROR(SEARCH("error",P60)))</formula>
    </cfRule>
    <cfRule type="containsText" dxfId="36" priority="48" operator="containsText" text="OK">
      <formula>NOT(ISERROR(SEARCH("OK",P60)))</formula>
    </cfRule>
  </conditionalFormatting>
  <conditionalFormatting sqref="K50:K53 K55 K58:K60">
    <cfRule type="containsText" dxfId="35" priority="43" operator="containsText" text="error">
      <formula>NOT(ISERROR(SEARCH("error",K50)))</formula>
    </cfRule>
    <cfRule type="containsText" dxfId="34" priority="44" operator="containsText" text="OK">
      <formula>NOT(ISERROR(SEARCH("OK",K50)))</formula>
    </cfRule>
  </conditionalFormatting>
  <conditionalFormatting sqref="L65">
    <cfRule type="containsText" dxfId="33" priority="39" operator="containsText" text="NO">
      <formula>NOT(ISERROR(SEARCH("NO",L65)))</formula>
    </cfRule>
    <cfRule type="containsText" dxfId="32" priority="40" operator="containsText" text="YES">
      <formula>NOT(ISERROR(SEARCH("YES",L65)))</formula>
    </cfRule>
  </conditionalFormatting>
  <conditionalFormatting sqref="Q50:Q59">
    <cfRule type="containsText" dxfId="31" priority="41" operator="containsText" text="error">
      <formula>NOT(ISERROR(SEARCH("error",Q50)))</formula>
    </cfRule>
    <cfRule type="containsText" dxfId="30" priority="42" operator="containsText" text="OK">
      <formula>NOT(ISERROR(SEARCH("OK",Q50)))</formula>
    </cfRule>
  </conditionalFormatting>
  <conditionalFormatting sqref="E69:E70">
    <cfRule type="containsText" dxfId="29" priority="35" operator="containsText" text="INVALID">
      <formula>NOT(ISERROR(SEARCH("INVALID",E69)))</formula>
    </cfRule>
  </conditionalFormatting>
  <conditionalFormatting sqref="J9 M9 J12 M12 P12 P15 P18 M15 M18 J15 J18 F24 B24 B27 F27 J24 M24 P24 P27 M27 J27 J30 M30 J33 M33 B39 F39 J39">
    <cfRule type="containsText" dxfId="28" priority="33" operator="containsText" text="CHOOSE">
      <formula>NOT(ISERROR(SEARCH("CHOOSE",B9)))</formula>
    </cfRule>
  </conditionalFormatting>
  <conditionalFormatting sqref="B30:D30">
    <cfRule type="containsText" dxfId="27" priority="32" operator="containsText" text="CHOOSE">
      <formula>NOT(ISERROR(SEARCH("CHOOSE",B30)))</formula>
    </cfRule>
  </conditionalFormatting>
  <conditionalFormatting sqref="M39:N39">
    <cfRule type="containsText" dxfId="26" priority="31" operator="containsText" text="CHOOSE">
      <formula>NOT(ISERROR(SEARCH("CHOOSE",M39)))</formula>
    </cfRule>
  </conditionalFormatting>
  <conditionalFormatting sqref="E70 K70:L70">
    <cfRule type="containsText" dxfId="25" priority="30" operator="containsText" text="CAN NOT">
      <formula>NOT(ISERROR(SEARCH("CAN NOT",E70)))</formula>
    </cfRule>
  </conditionalFormatting>
  <conditionalFormatting sqref="P39:Q39">
    <cfRule type="containsText" dxfId="24" priority="29" operator="containsText" text="CHOOSE">
      <formula>NOT(ISERROR(SEARCH("CHOOSE",P39)))</formula>
    </cfRule>
  </conditionalFormatting>
  <conditionalFormatting sqref="H53:I53">
    <cfRule type="containsText" dxfId="23" priority="28" operator="containsText" text="partial">
      <formula>NOT(ISERROR(SEARCH("partial",H53)))</formula>
    </cfRule>
  </conditionalFormatting>
  <conditionalFormatting sqref="H55:I55">
    <cfRule type="containsText" dxfId="22" priority="27" operator="containsText" text="partial">
      <formula>NOT(ISERROR(SEARCH("partial",H55)))</formula>
    </cfRule>
  </conditionalFormatting>
  <conditionalFormatting sqref="H54">
    <cfRule type="containsText" dxfId="21" priority="26" operator="containsText" text="0">
      <formula>NOT(ISERROR(SEARCH("0",H54)))</formula>
    </cfRule>
  </conditionalFormatting>
  <conditionalFormatting sqref="I54">
    <cfRule type="containsText" dxfId="20" priority="25" operator="containsText" text="1">
      <formula>NOT(ISERROR(SEARCH("1",I54)))</formula>
    </cfRule>
  </conditionalFormatting>
  <conditionalFormatting sqref="H56:H57">
    <cfRule type="containsText" dxfId="19" priority="24" operator="containsText" text="0">
      <formula>NOT(ISERROR(SEARCH("0",H56)))</formula>
    </cfRule>
  </conditionalFormatting>
  <conditionalFormatting sqref="I56:I57">
    <cfRule type="containsText" dxfId="18" priority="23" operator="containsText" text=",">
      <formula>NOT(ISERROR(SEARCH(",",I56)))</formula>
    </cfRule>
  </conditionalFormatting>
  <conditionalFormatting sqref="H60:I60">
    <cfRule type="containsText" dxfId="17" priority="22" operator="containsText" text="partial">
      <formula>NOT(ISERROR(SEARCH("partial",H60)))</formula>
    </cfRule>
  </conditionalFormatting>
  <conditionalFormatting sqref="H61:H62">
    <cfRule type="containsText" dxfId="16" priority="21" operator="containsText" text="0">
      <formula>NOT(ISERROR(SEARCH("0",H61)))</formula>
    </cfRule>
  </conditionalFormatting>
  <conditionalFormatting sqref="I61:I62">
    <cfRule type="containsText" dxfId="15" priority="20" operator="containsText" text=",">
      <formula>NOT(ISERROR(SEARCH(",",I61)))</formula>
    </cfRule>
  </conditionalFormatting>
  <conditionalFormatting sqref="I65">
    <cfRule type="cellIs" dxfId="14" priority="13" operator="between">
      <formula>100.001</formula>
      <formula>200</formula>
    </cfRule>
    <cfRule type="cellIs" dxfId="13" priority="14" operator="between">
      <formula>0</formula>
      <formula>99.999</formula>
    </cfRule>
    <cfRule type="cellIs" dxfId="12" priority="15" operator="equal">
      <formula>100</formula>
    </cfRule>
  </conditionalFormatting>
  <conditionalFormatting sqref="B45:Q45">
    <cfRule type="containsText" dxfId="11" priority="12" operator="containsText" text="DETAILED">
      <formula>NOT(ISERROR(SEARCH("DETAILED",B45)))</formula>
    </cfRule>
  </conditionalFormatting>
  <conditionalFormatting sqref="G47:Q47">
    <cfRule type="containsText" dxfId="10" priority="11" operator="containsText" text="full">
      <formula>NOT(ISERROR(SEARCH("full",G47)))</formula>
    </cfRule>
  </conditionalFormatting>
  <conditionalFormatting sqref="B55:E55">
    <cfRule type="containsText" dxfId="9" priority="10" operator="containsText" text="CUSTOM">
      <formula>NOT(ISERROR(SEARCH("CUSTOM",B55)))</formula>
    </cfRule>
  </conditionalFormatting>
  <conditionalFormatting sqref="B47:E47">
    <cfRule type="containsText" dxfId="8" priority="9" operator="containsText" text="CUSTOM">
      <formula>NOT(ISERROR(SEARCH("CUSTOM",B47)))</formula>
    </cfRule>
  </conditionalFormatting>
  <conditionalFormatting sqref="G49 M49">
    <cfRule type="containsText" dxfId="7" priority="8" operator="containsText" text="NAME">
      <formula>NOT(ISERROR(SEARCH("NAME",G49)))</formula>
    </cfRule>
  </conditionalFormatting>
  <conditionalFormatting sqref="H49:I49 N49:O49">
    <cfRule type="containsText" dxfId="6" priority="7" operator="containsText" text="%">
      <formula>NOT(ISERROR(SEARCH("%",H49)))</formula>
    </cfRule>
  </conditionalFormatting>
  <conditionalFormatting sqref="J49 P49">
    <cfRule type="containsText" dxfId="5" priority="6" operator="containsText" text="MOLAR">
      <formula>NOT(ISERROR(SEARCH("MOLAR",J49)))</formula>
    </cfRule>
  </conditionalFormatting>
  <conditionalFormatting sqref="K49 Q49">
    <cfRule type="containsText" dxfId="4" priority="5" operator="containsText" text="cor">
      <formula>NOT(ISERROR(SEARCH("cor",K49)))</formula>
    </cfRule>
  </conditionalFormatting>
  <conditionalFormatting sqref="E70:J70">
    <cfRule type="containsText" dxfId="3" priority="4" operator="containsText" text="correct">
      <formula>NOT(ISERROR(SEARCH("correct",E70)))</formula>
    </cfRule>
  </conditionalFormatting>
  <conditionalFormatting sqref="E69:J69">
    <cfRule type="containsText" dxfId="2" priority="1" operator="containsText" text="A3">
      <formula>NOT(ISERROR(SEARCH("A3",E69)))</formula>
    </cfRule>
    <cfRule type="containsText" dxfId="1" priority="3" operator="containsText" text="a1">
      <formula>NOT(ISERROR(SEARCH("a1",E69)))</formula>
    </cfRule>
  </conditionalFormatting>
  <conditionalFormatting sqref="F24">
    <cfRule type="cellIs" dxfId="0" priority="2" operator="equal">
      <formula>"CHOOSE"</formula>
    </cfRule>
  </conditionalFormatting>
  <pageMargins left="0.25" right="0.25" top="0.75" bottom="0.75" header="0.3" footer="0.3"/>
  <pageSetup paperSize="9" scale="57" fitToHeight="0"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xWindow="1157" yWindow="588" count="32">
        <x14:dataValidation type="list" allowBlank="1" showInputMessage="1" showErrorMessage="1" prompt="Additional P2 pressure sensor for pressure monitoring - not used for calculation._x000a__x000a_P2 sensor is G (gauge-overpresure) type" xr:uid="{793388BB-0951-411D-8361-186D0C1DB251}">
          <x14:formula1>
            <xm:f>Arkusz2!$C$35:$C$3941</xm:f>
          </x14:formula1>
          <xm:sqref>J18:K18</xm:sqref>
        </x14:dataValidation>
        <x14:dataValidation type="list" allowBlank="1" showInputMessage="1" showErrorMessage="1" xr:uid="{90E3B6EA-92C1-4464-8198-406BE19A2F6D}">
          <x14:formula1>
            <xm:f>Arkusz2!$K$15:$K$17</xm:f>
          </x14:formula1>
          <xm:sqref>E27</xm:sqref>
        </x14:dataValidation>
        <x14:dataValidation type="list" allowBlank="1" showInputMessage="1" showErrorMessage="1" xr:uid="{78E47843-C8AA-4E04-B888-2FFA30A08D2F}">
          <x14:formula1>
            <xm:f>Arkusz2!$K$14:$K$19</xm:f>
          </x14:formula1>
          <xm:sqref>B27</xm:sqref>
        </x14:dataValidation>
        <x14:dataValidation type="list" allowBlank="1" showInputMessage="1" showErrorMessage="1" xr:uid="{717C8030-1788-4809-871D-D8BF0E626BE0}">
          <x14:formula1>
            <xm:f>Arkusz2!$C$50:$C$57</xm:f>
          </x14:formula1>
          <xm:sqref>B39:C39</xm:sqref>
        </x14:dataValidation>
        <x14:dataValidation type="list" allowBlank="1" showInputMessage="1" showErrorMessage="1" xr:uid="{F9C9FCF4-5E0D-473B-8ECD-24478456F713}">
          <x14:formula1>
            <xm:f>Arkusz2!$C$4:$C$6</xm:f>
          </x14:formula1>
          <xm:sqref>J9:K9</xm:sqref>
        </x14:dataValidation>
        <x14:dataValidation type="list" allowBlank="1" showInputMessage="1" showErrorMessage="1" xr:uid="{8A369798-D1B5-4753-BDDF-19FF186585EB}">
          <x14:formula1>
            <xm:f>Arkusz2!$E$4:$E$6</xm:f>
          </x14:formula1>
          <xm:sqref>M9:N9</xm:sqref>
        </x14:dataValidation>
        <x14:dataValidation type="list" allowBlank="1" showInputMessage="1" showErrorMessage="1" xr:uid="{A51731E6-A8EC-45D1-8FD6-214294180091}">
          <x14:formula1>
            <xm:f>Arkusz2!$C$61:$C$63</xm:f>
          </x14:formula1>
          <xm:sqref>J39:K39</xm:sqref>
        </x14:dataValidation>
        <x14:dataValidation type="list" allowBlank="1" showInputMessage="1" showErrorMessage="1" xr:uid="{F5589980-0FE9-4D2F-8DD1-04DCFC73C66E}">
          <x14:formula1>
            <xm:f>Arkusz2!$G$10:$G$20</xm:f>
          </x14:formula1>
          <xm:sqref>M12:N12</xm:sqref>
        </x14:dataValidation>
        <x14:dataValidation type="list" allowBlank="1" showInputMessage="1" showErrorMessage="1" prompt="Applicable when sensor is external" xr:uid="{A263A62D-32AE-4F8E-B092-6186A81F6D32}">
          <x14:formula1>
            <xm:f>Arkusz2!$H$10:$H$13</xm:f>
          </x14:formula1>
          <xm:sqref>P12:Q12</xm:sqref>
        </x14:dataValidation>
        <x14:dataValidation type="list" allowBlank="1" showInputMessage="1" showErrorMessage="1" prompt="Temperature T sensor is used for calculation." xr:uid="{A0A5CFA9-F20D-4AC8-AB12-8AFE4283B928}">
          <x14:formula1>
            <xm:f>Arkusz2!$C$23:$C$25</xm:f>
          </x14:formula1>
          <xm:sqref>J15:K15</xm:sqref>
        </x14:dataValidation>
        <x14:dataValidation type="list" allowBlank="1" showInputMessage="1" showErrorMessage="1" xr:uid="{86867328-AE6B-4914-942D-D60D7A9FA292}">
          <x14:formula1>
            <xm:f>Arkusz2!$F$23:$F$32</xm:f>
          </x14:formula1>
          <xm:sqref>M15:N15</xm:sqref>
        </x14:dataValidation>
        <x14:dataValidation type="list" allowBlank="1" showInputMessage="1" showErrorMessage="1" prompt="Applicable when sensor is external" xr:uid="{8184CB17-2F32-45BD-817D-EF594D8F1136}">
          <x14:formula1>
            <xm:f>Arkusz2!$H$35:$H$38</xm:f>
          </x14:formula1>
          <xm:sqref>P18:Q18</xm:sqref>
        </x14:dataValidation>
        <x14:dataValidation type="list" allowBlank="1" showInputMessage="1" showErrorMessage="1" xr:uid="{8FFA17E6-8061-4B72-B5F1-1626D99B38AB}">
          <x14:formula1>
            <xm:f>Arkusz2!$K$6:$K$9</xm:f>
          </x14:formula1>
          <xm:sqref>B24</xm:sqref>
        </x14:dataValidation>
        <x14:dataValidation type="list" allowBlank="1" showInputMessage="1" showErrorMessage="1" xr:uid="{A883EC05-7924-4121-A52F-5D0C271C570F}">
          <x14:formula1>
            <xm:f>Arkusz2!$O$6:$O$8</xm:f>
          </x14:formula1>
          <xm:sqref>F24</xm:sqref>
        </x14:dataValidation>
        <x14:dataValidation type="list" allowBlank="1" showInputMessage="1" showErrorMessage="1" xr:uid="{D36A90D4-FB67-494D-8567-61A93443F0B3}">
          <x14:formula1>
            <xm:f>Arkusz2!$K$22:$K$23</xm:f>
          </x14:formula1>
          <xm:sqref>B30:D30</xm:sqref>
        </x14:dataValidation>
        <x14:dataValidation type="list" allowBlank="1" showInputMessage="1" showErrorMessage="1" prompt="Base pressure - used for calculation._x000a_When &quot;Other&quot; is chosen - fill the box on the next page" xr:uid="{F883F47E-2859-4D2E-9C4D-A7923370E764}">
          <x14:formula1>
            <xm:f>Arkusz2!$K$34:$K$36</xm:f>
          </x14:formula1>
          <xm:sqref>J24:K24</xm:sqref>
        </x14:dataValidation>
        <x14:dataValidation type="list" allowBlank="1" showInputMessage="1" showErrorMessage="1" prompt="Base temperature - used for calculation._x000a_When &quot;Other&quot; is chosen - fill the box on the next page." xr:uid="{7496E455-24C0-4941-B31F-4CF54D566287}">
          <x14:formula1>
            <xm:f>Arkusz2!$M$34:$M$39</xm:f>
          </x14:formula1>
          <xm:sqref>M24:N24</xm:sqref>
        </x14:dataValidation>
        <x14:dataValidation type="list" allowBlank="1" showInputMessage="1" showErrorMessage="1" prompt="Heat of combustion temperature._x000a_Not applicable when AGA8-92DC or AGA8-G2 algorithm is chosen" xr:uid="{D67EAA9B-EC6B-40FE-8832-46BA217E2870}">
          <x14:formula1>
            <xm:f>Arkusz2!$Q$34:$Q$39</xm:f>
          </x14:formula1>
          <xm:sqref>P24:Q24</xm:sqref>
        </x14:dataValidation>
        <x14:dataValidation type="list" allowBlank="1" showInputMessage="1" showErrorMessage="1" xr:uid="{9EFF0F29-BD52-46B0-8144-0B7B0BA619C7}">
          <x14:formula1>
            <xm:f>Arkusz2!$H$23:$H$26</xm:f>
          </x14:formula1>
          <xm:sqref>P15:Q15</xm:sqref>
        </x14:dataValidation>
        <x14:dataValidation type="list" allowBlank="1" showInputMessage="1" showErrorMessage="1" xr:uid="{929A128D-DD82-4A7B-860E-9CC54B9BF453}">
          <x14:formula1>
            <xm:f>Arkusz2!$K$43:$K$46</xm:f>
          </x14:formula1>
          <xm:sqref>J27:K27</xm:sqref>
        </x14:dataValidation>
        <x14:dataValidation type="list" allowBlank="1" showInputMessage="1" showErrorMessage="1" xr:uid="{C4BC61A9-5CD7-4763-9BD3-D62A33BE8057}">
          <x14:formula1>
            <xm:f>Arkusz2!$M$43:$M$45</xm:f>
          </x14:formula1>
          <xm:sqref>M27:N27</xm:sqref>
        </x14:dataValidation>
        <x14:dataValidation type="list" allowBlank="1" showInputMessage="1" showErrorMessage="1" xr:uid="{7CD189DB-D86F-4B23-B9BB-D491FD9B6EE7}">
          <x14:formula1>
            <xm:f>Arkusz2!$O$43:$O$45</xm:f>
          </x14:formula1>
          <xm:sqref>P27:Q27</xm:sqref>
        </x14:dataValidation>
        <x14:dataValidation type="list" allowBlank="1" showInputMessage="1" showErrorMessage="1" xr:uid="{9B738794-5E47-4B5E-971A-C6EC4D30DF47}">
          <x14:formula1>
            <xm:f>Arkusz2!$F$61:$F$64</xm:f>
          </x14:formula1>
          <xm:sqref>M39:N39</xm:sqref>
        </x14:dataValidation>
        <x14:dataValidation type="list" allowBlank="1" showInputMessage="1" showErrorMessage="1" xr:uid="{97D79A5B-87E8-42A0-9E40-7FA43C1A3AFF}">
          <x14:formula1>
            <xm:f>Arkusz2!$F$35:$F$45</xm:f>
          </x14:formula1>
          <xm:sqref>M18:N18</xm:sqref>
        </x14:dataValidation>
        <x14:dataValidation type="list" allowBlank="1" showInputMessage="1" showErrorMessage="1" xr:uid="{7E2763E9-3122-43EF-9147-353FF3FA9C2D}">
          <x14:formula1>
            <xm:f>Arkusz2!$F$50:$F$58</xm:f>
          </x14:formula1>
          <xm:sqref>F39:G39</xm:sqref>
        </x14:dataValidation>
        <x14:dataValidation type="list" allowBlank="1" showInputMessage="1" showErrorMessage="1" prompt="Calculation method for factory test_x000a__x000a_AGA8-92DC allows for examination of the device in full temperature range - from -30 to +70 Celsius degrees. Test on other algorithm is extra paid." xr:uid="{C7258ABD-0135-43F1-9AA0-EF1AD8C48528}">
          <x14:formula1>
            <xm:f>Arkusz2!$K$57</xm:f>
          </x14:formula1>
          <xm:sqref>J30:K30</xm:sqref>
        </x14:dataValidation>
        <x14:dataValidation type="list" allowBlank="1" showInputMessage="1" showErrorMessage="1" prompt="Calculation method to be set in factory._x000a_It can be changed later by customer." xr:uid="{5B7F84AE-E22E-41D0-9EFF-367A1F2D51CE}">
          <x14:formula1>
            <xm:f>Arkusz2!$K$55:$K$59</xm:f>
          </x14:formula1>
          <xm:sqref>J33:K33</xm:sqref>
        </x14:dataValidation>
        <x14:dataValidation type="list" allowBlank="1" showInputMessage="1" showErrorMessage="1" prompt="Gas compostion to be set in factory._x000a_It can be changed later by customer." xr:uid="{22E448F7-57B8-4C0D-BA0E-BE70919B9271}">
          <x14:formula1>
            <xm:f>Arkusz2!$N$55:$N$58</xm:f>
          </x14:formula1>
          <xm:sqref>M33:N33</xm:sqref>
        </x14:dataValidation>
        <x14:dataValidation type="list" allowBlank="1" showInputMessage="1" showErrorMessage="1" prompt="Gas composition for factory test" xr:uid="{072D0C4D-D3FC-4BB5-8A79-13E49EF70B80}">
          <x14:formula1>
            <xm:f>Arkusz2!$N$49</xm:f>
          </x14:formula1>
          <xm:sqref>M30:N30</xm:sqref>
        </x14:dataValidation>
        <x14:dataValidation type="list" allowBlank="1" showInputMessage="1" showErrorMessage="1" prompt="Amount for EVC - only one_x000a__x000a_Amount form modem - one or two_x000a_(depends also on housing type and P2 sensor type)" xr:uid="{2BC7E663-B1DD-4510-A377-EFE52CE1FB47}">
          <x14:formula1>
            <xm:f>Arkusz2!$O$14:$O$18</xm:f>
          </x14:formula1>
          <xm:sqref>F27:H27</xm:sqref>
        </x14:dataValidation>
        <x14:dataValidation type="list" allowBlank="1" showInputMessage="1" showErrorMessage="1" xr:uid="{8DF7554E-5A86-4535-A686-17FA9CBE2F39}">
          <x14:formula1>
            <xm:f>Arkusz2!$H$61:$H$66</xm:f>
          </x14:formula1>
          <xm:sqref>P39:Q39</xm:sqref>
        </x14:dataValidation>
        <x14:dataValidation type="list" allowBlank="1" showInputMessage="1" showErrorMessage="1" prompt="Pressure P1 primary sensor is used for calculation._x000a_It must be ABS (absolute) type._x000a__x000a_ABS pressure = G (gauge pressure-overpressure) + atmospheric pressure_x000a__x000a_MacBAT 5 T - only TZ correction (lack of pressure sensor)" xr:uid="{7800D3C6-24AC-40C7-B4CB-501EA0966660}">
          <x14:formula1>
            <xm:f>Arkusz2!$C$10:$C$14</xm:f>
          </x14:formula1>
          <xm:sqref>J12:K12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9F1E3C-2D15-4928-86AF-0AD902B258DC}">
  <dimension ref="C2:Z69"/>
  <sheetViews>
    <sheetView workbookViewId="0">
      <selection activeCell="N58" sqref="N58"/>
    </sheetView>
  </sheetViews>
  <sheetFormatPr defaultRowHeight="15"/>
  <cols>
    <col min="15" max="15" width="11.85546875" customWidth="1"/>
  </cols>
  <sheetData>
    <row r="2" spans="3:17" ht="15.75" thickBot="1"/>
    <row r="3" spans="3:17">
      <c r="C3" s="2" t="s">
        <v>73</v>
      </c>
      <c r="D3" s="3"/>
      <c r="E3" s="3" t="s">
        <v>74</v>
      </c>
      <c r="F3" s="3"/>
      <c r="G3" s="3"/>
      <c r="H3" s="3"/>
      <c r="I3" s="3"/>
      <c r="J3" s="4"/>
      <c r="K3" s="3"/>
      <c r="L3" s="3" t="s">
        <v>20</v>
      </c>
      <c r="M3" s="3"/>
      <c r="N3" s="3"/>
      <c r="O3" s="3"/>
      <c r="P3" s="3"/>
      <c r="Q3" s="4"/>
    </row>
    <row r="4" spans="3:17">
      <c r="C4" s="10" t="s">
        <v>88</v>
      </c>
      <c r="D4" s="1"/>
      <c r="E4" s="10" t="s">
        <v>88</v>
      </c>
      <c r="F4" s="1"/>
      <c r="G4" s="1"/>
      <c r="H4" s="1"/>
      <c r="I4" s="1"/>
      <c r="J4" s="6"/>
      <c r="K4" s="1"/>
      <c r="L4" s="1"/>
      <c r="M4" s="1"/>
      <c r="N4" s="1"/>
      <c r="O4" s="1"/>
      <c r="P4" s="1"/>
      <c r="Q4" s="6"/>
    </row>
    <row r="5" spans="3:17">
      <c r="C5" s="5" t="str">
        <f>IF(OR(Arkusz1!F24=Arkusz2!O8,Arkusz1!B24=Arkusz2!K9),"","MID")</f>
        <v>MID</v>
      </c>
      <c r="D5" s="1"/>
      <c r="E5" s="1" t="s">
        <v>13</v>
      </c>
      <c r="F5" s="1"/>
      <c r="G5" s="1"/>
      <c r="H5" s="10"/>
      <c r="I5" s="1"/>
      <c r="J5" s="6"/>
      <c r="K5" s="1" t="s">
        <v>18</v>
      </c>
      <c r="L5" s="1"/>
      <c r="M5" s="1"/>
      <c r="N5" s="1"/>
      <c r="O5" s="1" t="s">
        <v>79</v>
      </c>
      <c r="P5" s="1"/>
      <c r="Q5" s="6"/>
    </row>
    <row r="6" spans="3:17">
      <c r="C6" s="5" t="s">
        <v>6</v>
      </c>
      <c r="D6" s="1"/>
      <c r="E6" s="1" t="str">
        <f>IF(AND(Arkusz1!F27="1x EVC + 2x modem",Arkusz1!J18="Internal M12x1,5")," ","Aluminium")</f>
        <v>Aluminium</v>
      </c>
      <c r="F6" s="1"/>
      <c r="G6" s="1"/>
      <c r="H6" s="1"/>
      <c r="I6" s="1"/>
      <c r="J6" s="6"/>
      <c r="K6" s="1" t="s">
        <v>88</v>
      </c>
      <c r="L6" s="1"/>
      <c r="M6" s="1"/>
      <c r="N6" s="1"/>
      <c r="O6" s="1" t="s">
        <v>88</v>
      </c>
      <c r="P6" s="1"/>
      <c r="Q6" s="6"/>
    </row>
    <row r="7" spans="3:17">
      <c r="C7" s="5"/>
      <c r="D7" s="1"/>
      <c r="E7" s="1"/>
      <c r="F7" s="1"/>
      <c r="G7" s="1"/>
      <c r="H7" s="1"/>
      <c r="I7" s="1"/>
      <c r="J7" s="6"/>
      <c r="K7" s="1" t="s">
        <v>135</v>
      </c>
      <c r="L7" s="1"/>
      <c r="M7" s="1"/>
      <c r="N7" s="1"/>
      <c r="O7" s="1" t="s">
        <v>7</v>
      </c>
      <c r="P7" s="1"/>
      <c r="Q7" s="6"/>
    </row>
    <row r="8" spans="3:17">
      <c r="C8" s="5"/>
      <c r="D8" s="1"/>
      <c r="E8" s="1"/>
      <c r="F8" s="1"/>
      <c r="G8" s="1"/>
      <c r="H8" s="1"/>
      <c r="I8" s="1"/>
      <c r="J8" s="6"/>
      <c r="K8" s="1" t="s">
        <v>136</v>
      </c>
      <c r="L8" s="1"/>
      <c r="M8" s="1"/>
      <c r="N8" s="1"/>
      <c r="O8" s="1" t="str">
        <f>IF(Arkusz1!J9="MID"," ","1xRS232 1x RS485")</f>
        <v>1xRS232 1x RS485</v>
      </c>
      <c r="P8" s="1"/>
      <c r="Q8" s="6"/>
    </row>
    <row r="9" spans="3:17">
      <c r="C9" s="5" t="s">
        <v>0</v>
      </c>
      <c r="D9" s="1"/>
      <c r="E9" s="1"/>
      <c r="F9" s="1" t="s">
        <v>75</v>
      </c>
      <c r="G9" s="1"/>
      <c r="H9" s="1" t="s">
        <v>76</v>
      </c>
      <c r="I9" s="1"/>
      <c r="J9" s="6"/>
      <c r="K9" s="1" t="str">
        <f>IF(Arkusz1!J9="MID"," ","BASIC - 4xDI/2xDO - no HF inputs")</f>
        <v>BASIC - 4xDI/2xDO - no HF inputs</v>
      </c>
      <c r="L9" s="1"/>
      <c r="M9" s="1"/>
      <c r="N9" s="1"/>
      <c r="O9" s="1"/>
      <c r="P9" s="1"/>
      <c r="Q9" s="6"/>
    </row>
    <row r="10" spans="3:17">
      <c r="C10" s="10" t="s">
        <v>88</v>
      </c>
      <c r="D10" s="1"/>
      <c r="E10" s="1"/>
      <c r="F10" s="10" t="s">
        <v>88</v>
      </c>
      <c r="G10" s="1" t="s">
        <v>88</v>
      </c>
      <c r="H10" s="10" t="str">
        <f>IF(OR(Arkusz1!J12=Arkusz2!C12,Arkusz1!J12=Arkusz2!C13,Arkusz1!J12=C10),"CHOOSE",IF(OR(Arkusz1!J12=C11,Arkusz1!J12=C14),"CHOOSE",""))</f>
        <v>CHOOSE</v>
      </c>
      <c r="I10" s="1"/>
      <c r="J10" s="6"/>
      <c r="K10" s="1"/>
      <c r="L10" s="1"/>
      <c r="M10" s="1"/>
      <c r="N10" s="1"/>
      <c r="O10" s="1"/>
      <c r="P10" s="1"/>
      <c r="Q10" s="6"/>
    </row>
    <row r="11" spans="3:17">
      <c r="C11" s="5" t="s">
        <v>31</v>
      </c>
      <c r="D11" s="1"/>
      <c r="E11" s="1"/>
      <c r="F11" s="1" t="s">
        <v>137</v>
      </c>
      <c r="G11" s="1" t="str">
        <f>IF(Arkusz1!J12=C10,"N/A",IF(Arkusz1!J12=Arkusz2!C14,"N/A","0,8-6 bar ABS"))</f>
        <v>N/A</v>
      </c>
      <c r="H11" s="1" t="str">
        <f>IF(OR(Arkusz1!J12=C14,Arkusz1!J12=C11,Arkusz1!J12=C10),"N/A for internal","2,5m - default")</f>
        <v>N/A for internal</v>
      </c>
      <c r="I11" s="1"/>
      <c r="J11" s="6"/>
      <c r="K11" s="1"/>
      <c r="L11" s="1"/>
      <c r="M11" s="1"/>
      <c r="N11" s="1"/>
      <c r="O11" s="1"/>
      <c r="P11" s="1"/>
      <c r="Q11" s="6"/>
    </row>
    <row r="12" spans="3:17">
      <c r="C12" s="5" t="s">
        <v>32</v>
      </c>
      <c r="D12" s="1"/>
      <c r="E12" s="1"/>
      <c r="F12" s="1" t="s">
        <v>138</v>
      </c>
      <c r="G12" s="1" t="str">
        <f>IF(OR(Arkusz1!J12=Arkusz2!C14,Arkusz1!J12=C10),"N/A","2-10 bar ABS")</f>
        <v>N/A</v>
      </c>
      <c r="H12" s="1" t="str">
        <f>IF(OR(Arkusz1!J12=C14,Arkusz1!J12=C11,Arkusz1!J12=C10),"N/A for internal","5m")</f>
        <v>N/A for internal</v>
      </c>
      <c r="I12" s="1"/>
      <c r="J12" s="6"/>
      <c r="K12" s="1"/>
      <c r="L12" s="1"/>
      <c r="M12" s="1"/>
      <c r="N12" s="1"/>
      <c r="O12" s="1"/>
      <c r="P12" s="1"/>
      <c r="Q12" s="6"/>
    </row>
    <row r="13" spans="3:17">
      <c r="C13" s="5" t="s">
        <v>33</v>
      </c>
      <c r="D13" s="1"/>
      <c r="E13" s="1"/>
      <c r="F13" s="1" t="s">
        <v>139</v>
      </c>
      <c r="G13" s="1" t="str">
        <f>IF(OR(Arkusz1!J12=Arkusz2!C14,Arkusz1!J12=C10),"N/A","4-20 bar ABS")</f>
        <v>N/A</v>
      </c>
      <c r="H13" s="1" t="str">
        <f>IF(OR(Arkusz1!J12=C14,Arkusz1!J12=C11,Arkusz1!J12=C10),"N/A for internal","10m")</f>
        <v>N/A for internal</v>
      </c>
      <c r="I13" s="1"/>
      <c r="J13" s="6"/>
      <c r="K13" s="1" t="s">
        <v>19</v>
      </c>
      <c r="L13" s="1"/>
      <c r="M13" s="1"/>
      <c r="N13" s="1"/>
      <c r="O13" s="1" t="s">
        <v>21</v>
      </c>
      <c r="P13" s="1"/>
      <c r="Q13" s="6"/>
    </row>
    <row r="14" spans="3:17">
      <c r="C14" s="5" t="s">
        <v>55</v>
      </c>
      <c r="D14" s="1"/>
      <c r="E14" s="1"/>
      <c r="F14" s="1" t="s">
        <v>140</v>
      </c>
      <c r="G14" s="1" t="str">
        <f>IF(OR(Arkusz1!J12=Arkusz2!C14,Arkusz1!J12=C10),"N/A","7-35 bar ABS")</f>
        <v>N/A</v>
      </c>
      <c r="H14" s="1"/>
      <c r="I14" s="1"/>
      <c r="J14" s="6"/>
      <c r="K14" s="1" t="s">
        <v>88</v>
      </c>
      <c r="L14" s="1"/>
      <c r="M14" s="1"/>
      <c r="N14" s="1"/>
      <c r="O14" s="1" t="s">
        <v>88</v>
      </c>
      <c r="P14" s="1"/>
      <c r="Q14" s="6"/>
    </row>
    <row r="15" spans="3:17">
      <c r="D15" s="1"/>
      <c r="E15" s="1"/>
      <c r="F15" s="1" t="s">
        <v>141</v>
      </c>
      <c r="G15" s="1" t="str">
        <f>IF(OR(Arkusz1!J12=Arkusz2!C14,Arkusz1!J12=C10),"N/A","10-70 bar ABS")</f>
        <v>N/A</v>
      </c>
      <c r="H15" s="1"/>
      <c r="I15" s="1"/>
      <c r="J15" s="6"/>
      <c r="K15" s="1" t="s">
        <v>9</v>
      </c>
      <c r="L15" s="1"/>
      <c r="M15" s="1"/>
      <c r="N15" s="1"/>
      <c r="O15" s="1" t="s">
        <v>22</v>
      </c>
      <c r="P15" s="1"/>
      <c r="Q15" s="6"/>
    </row>
    <row r="16" spans="3:17">
      <c r="C16" s="5"/>
      <c r="D16" s="1"/>
      <c r="E16" s="1"/>
      <c r="F16" s="1" t="s">
        <v>142</v>
      </c>
      <c r="G16" s="1" t="str">
        <f>IF(OR(Arkusz1!J12=Arkusz2!C14,Arkusz1!J12=C10),"N/A","0,8-10 bar ABS")</f>
        <v>N/A</v>
      </c>
      <c r="H16" s="1"/>
      <c r="I16" s="1"/>
      <c r="J16" s="6"/>
      <c r="K16" s="1" t="s">
        <v>66</v>
      </c>
      <c r="L16" s="1"/>
      <c r="M16" s="1"/>
      <c r="N16" s="1"/>
      <c r="O16" s="1" t="s">
        <v>99</v>
      </c>
      <c r="P16" s="1"/>
      <c r="Q16" s="6"/>
    </row>
    <row r="17" spans="3:17">
      <c r="C17" s="5"/>
      <c r="D17" s="1"/>
      <c r="E17" s="1"/>
      <c r="F17" s="1" t="s">
        <v>143</v>
      </c>
      <c r="G17" s="1" t="str">
        <f>IF(OR(Arkusz1!J12=Arkusz2!C14,Arkusz1!J12=C10),"N/A","4-70 bar ABS")</f>
        <v>N/A</v>
      </c>
      <c r="H17" s="1"/>
      <c r="I17" s="1"/>
      <c r="J17" s="6"/>
      <c r="K17" s="1" t="s">
        <v>11</v>
      </c>
      <c r="L17" s="1"/>
      <c r="M17" s="1"/>
      <c r="N17" s="1"/>
      <c r="O17" s="1" t="s">
        <v>100</v>
      </c>
      <c r="P17" s="1"/>
      <c r="Q17" s="6"/>
    </row>
    <row r="18" spans="3:17">
      <c r="C18" s="5"/>
      <c r="D18" s="1"/>
      <c r="E18" s="1"/>
      <c r="F18" s="1" t="s">
        <v>144</v>
      </c>
      <c r="G18" s="1" t="str">
        <f>IF(OR(Arkusz1!J12=Arkusz2!C14,Arkusz1!J12=C10),"N/A","10-100 bar ABS")</f>
        <v>N/A</v>
      </c>
      <c r="H18" s="1"/>
      <c r="I18" s="1"/>
      <c r="J18" s="6"/>
      <c r="K18" s="1" t="s">
        <v>10</v>
      </c>
      <c r="L18" s="1"/>
      <c r="M18" s="1"/>
      <c r="N18" s="1"/>
      <c r="O18" s="1" t="str">
        <f>IF(AND(Arkusz1!J18="Internal M12x1,5",Arkusz1!M9="Aluminium")," ","1x EVC + 2x modem")</f>
        <v>1x EVC + 2x modem</v>
      </c>
      <c r="P18" s="1"/>
      <c r="Q18" s="6"/>
    </row>
    <row r="19" spans="3:17">
      <c r="C19" s="5"/>
      <c r="D19" s="1"/>
      <c r="E19" s="1"/>
      <c r="F19" s="1" t="s">
        <v>145</v>
      </c>
      <c r="G19" s="1" t="str">
        <f>IF(OR(Arkusz1!J12=Arkusz2!C14,Arkusz1!J12=C10),"N/A","20-100 bar ABS")</f>
        <v>N/A</v>
      </c>
      <c r="H19" s="1"/>
      <c r="I19" s="1"/>
      <c r="J19" s="6"/>
      <c r="K19" s="1" t="s">
        <v>67</v>
      </c>
      <c r="L19" s="1"/>
      <c r="M19" s="1"/>
      <c r="N19" s="1"/>
      <c r="O19" s="1"/>
      <c r="P19" s="1"/>
      <c r="Q19" s="6"/>
    </row>
    <row r="20" spans="3:17">
      <c r="C20" s="5"/>
      <c r="D20" s="1"/>
      <c r="E20" s="1"/>
      <c r="F20" s="1" t="str">
        <f>IF(Arkusz1!J9=C5,"","0,5-12 bar ABS")</f>
        <v>0,5-12 bar ABS</v>
      </c>
      <c r="G20" s="1" t="str">
        <f>IF(OR(Arkusz1!J12=Arkusz2!C14,Arkusz1!J12=C10),"N/A","0,5-12 bar ABS")</f>
        <v>N/A</v>
      </c>
      <c r="H20" s="1"/>
      <c r="I20" s="1"/>
      <c r="J20" s="6"/>
      <c r="K20" s="1"/>
      <c r="L20" s="1"/>
      <c r="M20" s="1"/>
      <c r="N20" s="1"/>
      <c r="O20" s="1"/>
      <c r="P20" s="1"/>
      <c r="Q20" s="6"/>
    </row>
    <row r="21" spans="3:17">
      <c r="C21" s="5"/>
      <c r="D21" s="1"/>
      <c r="E21" s="1"/>
      <c r="F21" s="1"/>
      <c r="G21" s="1"/>
      <c r="H21" s="1"/>
      <c r="I21" s="1"/>
      <c r="J21" s="6"/>
      <c r="K21" s="1" t="s">
        <v>80</v>
      </c>
      <c r="L21" s="1"/>
      <c r="M21" s="1"/>
      <c r="N21" s="1"/>
      <c r="O21" s="1"/>
      <c r="P21" s="1"/>
      <c r="Q21" s="6"/>
    </row>
    <row r="22" spans="3:17">
      <c r="C22" s="5" t="s">
        <v>77</v>
      </c>
      <c r="D22" s="1"/>
      <c r="E22" s="1"/>
      <c r="F22" s="1" t="s">
        <v>78</v>
      </c>
      <c r="G22" s="1"/>
      <c r="H22" s="1" t="s">
        <v>76</v>
      </c>
      <c r="I22" s="1"/>
      <c r="J22" s="6"/>
      <c r="K22" s="1" t="s">
        <v>88</v>
      </c>
      <c r="L22" s="1"/>
      <c r="M22" s="1"/>
      <c r="N22" s="1"/>
      <c r="O22" s="1"/>
      <c r="P22" s="1"/>
      <c r="Q22" s="6"/>
    </row>
    <row r="23" spans="3:17">
      <c r="C23" s="10" t="s">
        <v>88</v>
      </c>
      <c r="D23" s="1"/>
      <c r="E23" s="1"/>
      <c r="F23" s="10" t="s">
        <v>88</v>
      </c>
      <c r="G23" s="1"/>
      <c r="H23" s="10" t="s">
        <v>88</v>
      </c>
      <c r="I23" s="1"/>
      <c r="J23" s="6"/>
      <c r="K23" s="1" t="s">
        <v>65</v>
      </c>
      <c r="L23" s="1"/>
      <c r="M23" s="1"/>
      <c r="N23" s="1"/>
      <c r="O23" s="1"/>
      <c r="P23" s="1"/>
      <c r="Q23" s="6"/>
    </row>
    <row r="24" spans="3:17">
      <c r="C24" s="5" t="s">
        <v>4</v>
      </c>
      <c r="D24" s="1"/>
      <c r="E24" s="1"/>
      <c r="F24" s="1" t="s">
        <v>30</v>
      </c>
      <c r="G24" s="1"/>
      <c r="H24" s="1" t="s">
        <v>71</v>
      </c>
      <c r="I24" s="1"/>
      <c r="J24" s="6"/>
      <c r="K24" s="1"/>
      <c r="L24" s="1"/>
      <c r="M24" s="1"/>
      <c r="N24" s="1"/>
      <c r="O24" s="1"/>
      <c r="P24" s="1"/>
      <c r="Q24" s="6"/>
    </row>
    <row r="25" spans="3:17">
      <c r="C25" s="5" t="str">
        <f>IF(Arkusz1!J9="MID"," ","2-wires")</f>
        <v>2-wires</v>
      </c>
      <c r="D25" s="1"/>
      <c r="E25" s="1"/>
      <c r="F25" s="1" t="s">
        <v>56</v>
      </c>
      <c r="G25" s="1"/>
      <c r="H25" s="1" t="s">
        <v>28</v>
      </c>
      <c r="I25" s="1"/>
      <c r="J25" s="6"/>
      <c r="K25" s="1"/>
      <c r="L25" s="1"/>
      <c r="M25" s="1"/>
      <c r="N25" s="1"/>
      <c r="O25" s="1"/>
      <c r="P25" s="1"/>
      <c r="Q25" s="6"/>
    </row>
    <row r="26" spans="3:17">
      <c r="C26" s="5"/>
      <c r="D26" s="1"/>
      <c r="E26" s="1"/>
      <c r="F26" s="1" t="s">
        <v>57</v>
      </c>
      <c r="G26" s="1"/>
      <c r="H26" s="1" t="s">
        <v>29</v>
      </c>
      <c r="I26" s="1"/>
      <c r="J26" s="6"/>
      <c r="K26" s="1"/>
      <c r="L26" s="1"/>
      <c r="M26" s="1"/>
      <c r="N26" s="1"/>
      <c r="O26" s="1"/>
      <c r="P26" s="1"/>
      <c r="Q26" s="6"/>
    </row>
    <row r="27" spans="3:17">
      <c r="C27" s="5"/>
      <c r="D27" s="1"/>
      <c r="E27" s="1"/>
      <c r="F27" s="1" t="s">
        <v>58</v>
      </c>
      <c r="G27" s="1"/>
      <c r="H27" s="1"/>
      <c r="I27" s="1"/>
      <c r="J27" s="6"/>
      <c r="L27" s="1"/>
      <c r="M27" s="1"/>
      <c r="N27" s="1"/>
      <c r="O27" s="1"/>
      <c r="P27" s="1"/>
      <c r="Q27" s="6"/>
    </row>
    <row r="28" spans="3:17">
      <c r="C28" s="5"/>
      <c r="D28" s="1"/>
      <c r="E28" s="1"/>
      <c r="F28" s="1" t="s">
        <v>59</v>
      </c>
      <c r="G28" s="1"/>
      <c r="H28" s="1"/>
      <c r="I28" s="1"/>
      <c r="J28" s="6"/>
      <c r="K28" s="1"/>
      <c r="L28" s="1"/>
      <c r="M28" s="1"/>
      <c r="N28" s="1"/>
      <c r="O28" s="1"/>
      <c r="P28" s="1"/>
      <c r="Q28" s="6"/>
    </row>
    <row r="29" spans="3:17" ht="15.75" thickBot="1">
      <c r="C29" s="5"/>
      <c r="D29" s="1"/>
      <c r="E29" s="1"/>
      <c r="F29" s="1" t="s">
        <v>60</v>
      </c>
      <c r="G29" s="1"/>
      <c r="H29" s="1"/>
      <c r="I29" s="1"/>
      <c r="J29" s="6"/>
      <c r="K29" s="8"/>
      <c r="L29" s="8"/>
      <c r="M29" s="8"/>
      <c r="N29" s="8"/>
      <c r="O29" s="8"/>
      <c r="P29" s="8"/>
      <c r="Q29" s="9"/>
    </row>
    <row r="30" spans="3:17">
      <c r="C30" s="5"/>
      <c r="D30" s="1"/>
      <c r="E30" s="1"/>
      <c r="F30" s="1" t="s">
        <v>61</v>
      </c>
      <c r="G30" s="1"/>
      <c r="H30" s="1"/>
      <c r="I30" s="1"/>
      <c r="J30" s="1"/>
      <c r="K30" s="2"/>
      <c r="L30" s="3"/>
      <c r="M30" s="3"/>
      <c r="N30" s="3"/>
      <c r="O30" s="3"/>
      <c r="P30" s="3"/>
      <c r="Q30" s="4"/>
    </row>
    <row r="31" spans="3:17">
      <c r="C31" s="5"/>
      <c r="D31" s="1"/>
      <c r="E31" s="1"/>
      <c r="F31" s="1" t="s">
        <v>62</v>
      </c>
      <c r="G31" s="1"/>
      <c r="H31" s="1"/>
      <c r="I31" s="1"/>
      <c r="J31" s="1"/>
      <c r="K31" s="5"/>
      <c r="L31" s="1" t="s">
        <v>81</v>
      </c>
      <c r="M31" s="1"/>
      <c r="N31" s="1"/>
      <c r="O31" s="1"/>
      <c r="P31" s="1"/>
      <c r="Q31" s="6"/>
    </row>
    <row r="32" spans="3:17">
      <c r="C32" s="5"/>
      <c r="D32" s="1"/>
      <c r="E32" s="1"/>
      <c r="F32" s="1" t="s">
        <v>63</v>
      </c>
      <c r="G32" s="1"/>
      <c r="H32" s="1"/>
      <c r="I32" s="1"/>
      <c r="J32" s="1"/>
      <c r="K32" s="5"/>
      <c r="L32" s="1"/>
      <c r="M32" s="1"/>
      <c r="N32" s="1"/>
      <c r="O32" s="1"/>
      <c r="P32" s="1"/>
      <c r="Q32" s="6"/>
    </row>
    <row r="33" spans="3:17">
      <c r="C33" s="5"/>
      <c r="D33" s="1"/>
      <c r="E33" s="1"/>
      <c r="F33" s="1"/>
      <c r="G33" s="1"/>
      <c r="H33" s="1"/>
      <c r="I33" s="1"/>
      <c r="J33" s="1"/>
      <c r="K33" s="5" t="s">
        <v>24</v>
      </c>
      <c r="L33" s="1"/>
      <c r="M33" s="1" t="s">
        <v>25</v>
      </c>
      <c r="N33" s="1"/>
      <c r="O33" s="1" t="s">
        <v>23</v>
      </c>
      <c r="P33" s="1"/>
      <c r="Q33" s="6"/>
    </row>
    <row r="34" spans="3:17">
      <c r="C34" s="5" t="s">
        <v>1</v>
      </c>
      <c r="D34" s="1"/>
      <c r="E34" s="1"/>
      <c r="F34" s="1" t="s">
        <v>75</v>
      </c>
      <c r="G34" s="1"/>
      <c r="H34" s="1" t="s">
        <v>76</v>
      </c>
      <c r="I34" s="1"/>
      <c r="J34" s="1"/>
      <c r="K34" s="1" t="s">
        <v>88</v>
      </c>
      <c r="L34" s="1"/>
      <c r="M34" s="1" t="s">
        <v>88</v>
      </c>
      <c r="N34" s="1"/>
      <c r="O34" s="1" t="s">
        <v>88</v>
      </c>
      <c r="P34" s="1"/>
      <c r="Q34" s="1" t="s">
        <v>88</v>
      </c>
    </row>
    <row r="35" spans="3:17">
      <c r="C35" s="10" t="s">
        <v>88</v>
      </c>
      <c r="D35" s="1"/>
      <c r="E35" s="1"/>
      <c r="F35" s="12" t="s">
        <v>88</v>
      </c>
      <c r="G35" s="1"/>
      <c r="H35" s="10" t="str">
        <f>IF(Arkusz1!J18="CHOOSE","CHOOSE","")</f>
        <v>CHOOSE</v>
      </c>
      <c r="I35" s="1"/>
      <c r="J35" s="1"/>
      <c r="K35" s="5" t="s">
        <v>34</v>
      </c>
      <c r="L35" s="1"/>
      <c r="M35" s="1" t="s">
        <v>107</v>
      </c>
      <c r="N35" s="1"/>
      <c r="O35" s="1" t="s">
        <v>103</v>
      </c>
      <c r="P35" s="1"/>
      <c r="Q35" s="6" t="str">
        <f>IF(OR(Arkusz1!J33="AGA8-92DC",Arkusz1!J33="AGA8-G2"),"","0°C - 273,15°K")</f>
        <v>0°C - 273,15°K</v>
      </c>
    </row>
    <row r="36" spans="3:17">
      <c r="C36" s="5" t="s">
        <v>2</v>
      </c>
      <c r="D36" s="1"/>
      <c r="E36" s="1"/>
      <c r="F36" s="1" t="str">
        <f>IF(OR(Arkusz1!J18=C36,Arkusz1!J18=C35),"N/A","0-0,1 bar G")</f>
        <v>N/A</v>
      </c>
      <c r="G36" s="1"/>
      <c r="H36" s="1" t="str">
        <f>IF(OR(Arkusz1!J18=C36,Arkusz1!J18=C37,Arkusz1!J18=C35),"N/A","2,5m - default")</f>
        <v>N/A</v>
      </c>
      <c r="I36" s="1"/>
      <c r="J36" s="1"/>
      <c r="K36" s="5" t="s">
        <v>35</v>
      </c>
      <c r="L36" s="1"/>
      <c r="M36" s="1" t="s">
        <v>108</v>
      </c>
      <c r="N36" s="1"/>
      <c r="O36" s="1" t="s">
        <v>104</v>
      </c>
      <c r="P36" s="1"/>
      <c r="Q36" s="6" t="str">
        <f>IF(OR(Arkusz1!J33="AGA8-92DC",Arkusz1!J33="AGA8-G2"),"","15°C - 288,15°K")</f>
        <v>15°C - 288,15°K</v>
      </c>
    </row>
    <row r="37" spans="3:17">
      <c r="C37" s="5" t="str">
        <f>IF(AND(Arkusz1!F27="1x EVC + 2x modem",Arkusz1!M9="Aluminium")," ","Internal M12x1,5")</f>
        <v>Internal M12x1,5</v>
      </c>
      <c r="D37" s="1"/>
      <c r="E37" s="1"/>
      <c r="F37" s="1" t="str">
        <f>IF(OR(Arkusz1!J18=C36,Arkusz1!J18=C35),"N/A","0-0,3 bar G")</f>
        <v>N/A</v>
      </c>
      <c r="H37" s="1" t="str">
        <f>IF(OR(Arkusz1!J18=C36,Arkusz1!J18=C37,Arkusz1!J18=C35),"N/A","5m")</f>
        <v>N/A</v>
      </c>
      <c r="I37" s="1"/>
      <c r="J37" s="1"/>
      <c r="K37" s="5"/>
      <c r="L37" s="1"/>
      <c r="M37" s="1" t="s">
        <v>109</v>
      </c>
      <c r="N37" s="1"/>
      <c r="O37" s="1" t="s">
        <v>105</v>
      </c>
      <c r="P37" s="1"/>
      <c r="Q37" s="6" t="str">
        <f>IF(OR(Arkusz1!J33="AGA8-92DC",Arkusz1!J33="AGA8-G2"),"","20°C - 293,15°K")</f>
        <v>20°C - 293,15°K</v>
      </c>
    </row>
    <row r="38" spans="3:17">
      <c r="C38" s="5" t="s">
        <v>32</v>
      </c>
      <c r="D38" s="1"/>
      <c r="E38" s="1"/>
      <c r="F38" s="1" t="str">
        <f>IF(OR(Arkusz1!J18=C36,Arkusz1!J18=C35),"N/A","0-1 bar G")</f>
        <v>N/A</v>
      </c>
      <c r="H38" s="1" t="str">
        <f>IF(OR(Arkusz1!J18=C36,Arkusz1!J18=C37,Arkusz1!J18=C35),"N/A","10m")</f>
        <v>N/A</v>
      </c>
      <c r="I38" s="1"/>
      <c r="J38" s="1"/>
      <c r="K38" s="5"/>
      <c r="L38" s="1"/>
      <c r="M38" s="1" t="s">
        <v>110</v>
      </c>
      <c r="N38" s="1"/>
      <c r="O38" s="1" t="s">
        <v>106</v>
      </c>
      <c r="P38" s="1"/>
      <c r="Q38" s="6" t="str">
        <f>IF(OR(Arkusz1!J33="AGA8-92DC",Arkusz1!J33="AGA8-G2"),"25°C - 298,15°K","25°C - 298,15°K")</f>
        <v>25°C - 298,15°K</v>
      </c>
    </row>
    <row r="39" spans="3:17">
      <c r="C39" s="5" t="s">
        <v>33</v>
      </c>
      <c r="D39" s="1"/>
      <c r="E39" s="1"/>
      <c r="F39" s="1" t="str">
        <f>IF(OR(Arkusz1!J18=C36,Arkusz1!J18=C35),"N/A","0-6 bar G")</f>
        <v>N/A</v>
      </c>
      <c r="H39" s="1"/>
      <c r="I39" s="1"/>
      <c r="J39" s="1"/>
      <c r="K39" s="5"/>
      <c r="L39" s="1"/>
      <c r="M39" s="1" t="s">
        <v>35</v>
      </c>
      <c r="N39" s="1"/>
      <c r="O39" s="1" t="s">
        <v>35</v>
      </c>
      <c r="P39" s="1"/>
      <c r="Q39" s="6" t="s">
        <v>35</v>
      </c>
    </row>
    <row r="40" spans="3:17">
      <c r="C40" s="5"/>
      <c r="D40" s="1"/>
      <c r="E40" s="1"/>
      <c r="F40" s="1" t="str">
        <f>IF(OR(Arkusz1!J18=C36,Arkusz1!J18=C35),"N/A","4-20 bar G")</f>
        <v>N/A</v>
      </c>
      <c r="H40" s="1"/>
      <c r="I40" s="1"/>
      <c r="J40" s="1"/>
      <c r="K40" s="5"/>
      <c r="L40" s="1"/>
      <c r="M40" s="1"/>
      <c r="N40" s="1"/>
      <c r="P40" s="1"/>
      <c r="Q40" s="6"/>
    </row>
    <row r="41" spans="3:17">
      <c r="C41" s="5"/>
      <c r="D41" s="1"/>
      <c r="E41" s="1"/>
      <c r="F41" s="1" t="str">
        <f>IF(OR(Arkusz1!J18=C36,Arkusz1!J18=C35),"N/A","7-35 bar G")</f>
        <v>N/A</v>
      </c>
      <c r="H41" s="1"/>
      <c r="I41" s="1"/>
      <c r="J41" s="1"/>
      <c r="K41" s="5"/>
      <c r="L41" s="1"/>
      <c r="M41" s="1"/>
      <c r="N41" s="1"/>
      <c r="O41" s="1"/>
      <c r="P41" s="1"/>
      <c r="Q41" s="6"/>
    </row>
    <row r="42" spans="3:17">
      <c r="C42" s="5"/>
      <c r="D42" s="1"/>
      <c r="E42" s="1"/>
      <c r="F42" s="1" t="str">
        <f>IF(OR(Arkusz1!J18=C36,Arkusz1!J18=C35),"N/A","10-70 bar G")</f>
        <v>N/A</v>
      </c>
      <c r="H42" s="1"/>
      <c r="I42" s="1"/>
      <c r="J42" s="1"/>
      <c r="K42" s="5" t="s">
        <v>26</v>
      </c>
      <c r="L42" s="1"/>
      <c r="M42" s="1" t="s">
        <v>27</v>
      </c>
      <c r="N42" s="1"/>
      <c r="O42" s="1" t="s">
        <v>51</v>
      </c>
      <c r="P42" s="1"/>
      <c r="Q42" s="6"/>
    </row>
    <row r="43" spans="3:17">
      <c r="C43" s="5"/>
      <c r="D43" s="1"/>
      <c r="E43" s="1"/>
      <c r="F43" s="1" t="str">
        <f>IF(OR(Arkusz1!J18=C36,Arkusz1!J18=C35),"N/A","10-100 bar G")</f>
        <v>N/A</v>
      </c>
      <c r="H43" s="1"/>
      <c r="I43" s="1"/>
      <c r="J43" s="1"/>
      <c r="K43" s="5" t="s">
        <v>88</v>
      </c>
      <c r="L43" s="1"/>
      <c r="M43" s="1" t="s">
        <v>88</v>
      </c>
      <c r="N43" s="1"/>
      <c r="O43" s="1" t="s">
        <v>88</v>
      </c>
      <c r="P43" s="1"/>
      <c r="Q43" s="6"/>
    </row>
    <row r="44" spans="3:17">
      <c r="C44" s="5"/>
      <c r="D44" s="1"/>
      <c r="E44" s="1"/>
      <c r="F44" s="1" t="str">
        <f>IF(OR(Arkusz1!J18=C36,Arkusz1!J18=C35),"N/A","5-55 bar G")</f>
        <v>N/A</v>
      </c>
      <c r="H44" s="1"/>
      <c r="I44" s="1"/>
      <c r="J44" s="1"/>
      <c r="K44" s="5" t="s">
        <v>36</v>
      </c>
      <c r="L44" s="1"/>
      <c r="M44" s="1" t="s">
        <v>101</v>
      </c>
      <c r="N44" s="1"/>
      <c r="O44" s="1" t="s">
        <v>53</v>
      </c>
      <c r="P44" s="1"/>
      <c r="Q44" s="6"/>
    </row>
    <row r="45" spans="3:17" ht="15.75" thickBot="1">
      <c r="C45" s="7"/>
      <c r="D45" s="8"/>
      <c r="E45" s="8"/>
      <c r="F45" s="8" t="str">
        <f>IF(OR(Arkusz1!J18=C36,Arkusz1!J18=C35),"N/A","0-10 bar G")</f>
        <v>N/A</v>
      </c>
      <c r="H45" s="8"/>
      <c r="I45" s="8"/>
      <c r="J45" s="8"/>
      <c r="K45" s="5" t="s">
        <v>37</v>
      </c>
      <c r="L45" s="1"/>
      <c r="M45" s="1" t="s">
        <v>102</v>
      </c>
      <c r="N45" s="1"/>
      <c r="O45" s="1" t="s">
        <v>54</v>
      </c>
      <c r="P45" s="1"/>
      <c r="Q45" s="6"/>
    </row>
    <row r="46" spans="3:17">
      <c r="C46" s="2"/>
      <c r="D46" s="3"/>
      <c r="E46" s="3"/>
      <c r="F46" s="3"/>
      <c r="G46" s="3"/>
      <c r="H46" s="3"/>
      <c r="I46" s="3"/>
      <c r="J46" s="4"/>
      <c r="K46" s="5" t="s">
        <v>52</v>
      </c>
      <c r="L46" s="1"/>
      <c r="M46" s="1"/>
      <c r="N46" s="1"/>
      <c r="O46" s="1"/>
      <c r="P46" s="1"/>
      <c r="Q46" s="6"/>
    </row>
    <row r="47" spans="3:17">
      <c r="C47" s="5"/>
      <c r="D47" s="1" t="s">
        <v>86</v>
      </c>
      <c r="E47" s="1"/>
      <c r="F47" s="1"/>
      <c r="G47" s="1"/>
      <c r="H47" s="1"/>
      <c r="I47" s="1"/>
      <c r="J47" s="6"/>
      <c r="K47" s="5"/>
      <c r="L47" s="1"/>
      <c r="M47" s="1"/>
      <c r="N47" s="1"/>
      <c r="O47" s="1"/>
      <c r="P47" s="1"/>
      <c r="Q47" s="6"/>
    </row>
    <row r="48" spans="3:17">
      <c r="C48" s="5"/>
      <c r="D48" s="1"/>
      <c r="E48" s="1"/>
      <c r="F48" s="1"/>
      <c r="G48" s="1"/>
      <c r="H48" s="1"/>
      <c r="I48" s="1"/>
      <c r="J48" s="6"/>
      <c r="K48" s="5" t="s">
        <v>82</v>
      </c>
      <c r="L48" s="1"/>
      <c r="M48" s="1"/>
      <c r="N48" s="1" t="s">
        <v>83</v>
      </c>
      <c r="O48" s="1"/>
      <c r="P48" s="1"/>
      <c r="Q48" s="6"/>
    </row>
    <row r="49" spans="3:17">
      <c r="C49" s="5" t="s">
        <v>39</v>
      </c>
      <c r="D49" s="1"/>
      <c r="E49" s="1"/>
      <c r="F49" s="1" t="s">
        <v>40</v>
      </c>
      <c r="G49" s="1"/>
      <c r="H49" s="1"/>
      <c r="I49" s="1"/>
      <c r="J49" s="6"/>
      <c r="K49" s="5"/>
      <c r="L49" s="1"/>
      <c r="M49" s="1"/>
      <c r="N49" s="1" t="s">
        <v>116</v>
      </c>
      <c r="O49" s="1"/>
      <c r="P49" s="1"/>
      <c r="Q49" s="6"/>
    </row>
    <row r="50" spans="3:17">
      <c r="C50" s="5" t="s">
        <v>88</v>
      </c>
      <c r="D50" s="1"/>
      <c r="E50" s="1"/>
      <c r="F50" s="1" t="s">
        <v>88</v>
      </c>
      <c r="G50" s="1"/>
      <c r="H50" s="1"/>
      <c r="I50" s="1"/>
      <c r="J50" s="6"/>
      <c r="K50" s="5"/>
      <c r="L50" s="1"/>
      <c r="M50" s="1"/>
      <c r="O50" s="1"/>
      <c r="P50" s="1"/>
      <c r="Q50" s="6"/>
    </row>
    <row r="51" spans="3:17">
      <c r="C51" s="5" t="s">
        <v>41</v>
      </c>
      <c r="D51" s="1"/>
      <c r="E51" s="1"/>
      <c r="F51" s="1" t="s">
        <v>41</v>
      </c>
      <c r="G51" s="1"/>
      <c r="H51" s="1"/>
      <c r="I51" s="1"/>
      <c r="J51" s="6"/>
      <c r="K51" s="5"/>
      <c r="L51" s="1"/>
      <c r="M51" s="1"/>
      <c r="O51" s="1"/>
      <c r="P51" s="1"/>
      <c r="Q51" s="6"/>
    </row>
    <row r="52" spans="3:17">
      <c r="C52" s="5" t="s">
        <v>42</v>
      </c>
      <c r="D52" s="1"/>
      <c r="E52" s="1"/>
      <c r="F52" s="1" t="s">
        <v>42</v>
      </c>
      <c r="G52" s="1"/>
      <c r="H52" s="1"/>
      <c r="I52" s="1"/>
      <c r="J52" s="6"/>
      <c r="K52" s="5"/>
      <c r="L52" s="1"/>
      <c r="M52" s="1"/>
      <c r="O52" s="1"/>
      <c r="P52" s="1"/>
      <c r="Q52" s="6"/>
    </row>
    <row r="53" spans="3:17">
      <c r="C53" s="5" t="s">
        <v>43</v>
      </c>
      <c r="D53" s="1"/>
      <c r="E53" s="1"/>
      <c r="F53" s="11" t="s">
        <v>43</v>
      </c>
      <c r="G53" s="1"/>
      <c r="H53" s="1"/>
      <c r="I53" s="1"/>
      <c r="J53" s="6"/>
      <c r="P53" s="1"/>
      <c r="Q53" s="6"/>
    </row>
    <row r="54" spans="3:17">
      <c r="C54" s="5" t="s">
        <v>44</v>
      </c>
      <c r="D54" s="1"/>
      <c r="E54" s="1"/>
      <c r="F54" s="1" t="s">
        <v>46</v>
      </c>
      <c r="G54" s="1"/>
      <c r="H54" s="1"/>
      <c r="I54" s="1"/>
      <c r="J54" s="6"/>
      <c r="K54" s="5" t="s">
        <v>84</v>
      </c>
      <c r="L54" s="1"/>
      <c r="M54" s="1"/>
      <c r="N54" s="1" t="s">
        <v>85</v>
      </c>
      <c r="O54" s="1"/>
      <c r="P54" s="1"/>
      <c r="Q54" s="6"/>
    </row>
    <row r="55" spans="3:17">
      <c r="C55" s="5" t="s">
        <v>94</v>
      </c>
      <c r="D55" s="1"/>
      <c r="E55" s="1"/>
      <c r="F55" s="1" t="s">
        <v>45</v>
      </c>
      <c r="G55" s="1"/>
      <c r="H55" s="1"/>
      <c r="I55" s="1"/>
      <c r="J55" s="6"/>
      <c r="K55" s="1" t="s">
        <v>88</v>
      </c>
      <c r="L55" s="1"/>
      <c r="M55" s="1"/>
      <c r="N55" s="11" t="s">
        <v>88</v>
      </c>
      <c r="O55" s="1"/>
      <c r="P55" s="1"/>
      <c r="Q55" s="6"/>
    </row>
    <row r="56" spans="3:17">
      <c r="C56" s="5" t="s">
        <v>95</v>
      </c>
      <c r="D56" s="1"/>
      <c r="E56" s="1"/>
      <c r="F56" s="11" t="s">
        <v>94</v>
      </c>
      <c r="G56" s="1"/>
      <c r="H56" s="1"/>
      <c r="I56" s="1"/>
      <c r="J56" s="6"/>
      <c r="K56" s="1" t="s">
        <v>47</v>
      </c>
      <c r="L56" s="1"/>
      <c r="M56" s="1"/>
      <c r="N56" s="11" t="s">
        <v>50</v>
      </c>
      <c r="O56" s="1"/>
      <c r="P56" s="1"/>
      <c r="Q56" s="6"/>
    </row>
    <row r="57" spans="3:17">
      <c r="C57" s="5" t="s">
        <v>132</v>
      </c>
      <c r="D57" s="1"/>
      <c r="E57" s="1"/>
      <c r="F57" s="11" t="s">
        <v>95</v>
      </c>
      <c r="G57" s="1"/>
      <c r="H57" s="1"/>
      <c r="I57" s="1"/>
      <c r="J57" s="6"/>
      <c r="K57" s="1" t="s">
        <v>48</v>
      </c>
      <c r="L57" s="1"/>
      <c r="M57" s="1"/>
      <c r="N57" s="11" t="s">
        <v>147</v>
      </c>
      <c r="O57" s="1"/>
      <c r="P57" s="1"/>
      <c r="Q57" s="6"/>
    </row>
    <row r="58" spans="3:17">
      <c r="C58" s="5"/>
      <c r="D58" s="1"/>
      <c r="E58" s="1"/>
      <c r="F58" s="11" t="s">
        <v>132</v>
      </c>
      <c r="G58" s="1"/>
      <c r="H58" s="1"/>
      <c r="I58" s="1"/>
      <c r="J58" s="6"/>
      <c r="K58" s="1" t="s">
        <v>49</v>
      </c>
      <c r="L58" s="1"/>
      <c r="M58" s="1"/>
      <c r="N58" s="11" t="s">
        <v>112</v>
      </c>
      <c r="O58" s="1"/>
      <c r="P58" s="1"/>
      <c r="Q58" s="6"/>
    </row>
    <row r="59" spans="3:17">
      <c r="C59" s="5"/>
      <c r="D59" s="1"/>
      <c r="E59" s="1"/>
      <c r="F59" s="1"/>
      <c r="G59" s="1"/>
      <c r="H59" s="1"/>
      <c r="I59" s="1"/>
      <c r="J59" s="6"/>
      <c r="K59" s="1" t="s">
        <v>35</v>
      </c>
      <c r="L59" s="1"/>
      <c r="M59" s="1"/>
      <c r="O59" s="1"/>
      <c r="P59" s="1"/>
      <c r="Q59" s="6"/>
    </row>
    <row r="60" spans="3:17">
      <c r="C60" s="5" t="s">
        <v>72</v>
      </c>
      <c r="D60" s="1"/>
      <c r="E60" s="1"/>
      <c r="F60" s="1" t="s">
        <v>98</v>
      </c>
      <c r="G60" s="1"/>
      <c r="H60" s="1" t="s">
        <v>113</v>
      </c>
      <c r="I60" s="1"/>
      <c r="J60" s="6"/>
      <c r="L60" s="1"/>
      <c r="M60" s="1"/>
      <c r="O60" s="1"/>
      <c r="P60" s="1"/>
      <c r="Q60" s="6"/>
    </row>
    <row r="61" spans="3:17">
      <c r="C61" s="5" t="s">
        <v>88</v>
      </c>
      <c r="D61" s="1"/>
      <c r="E61" s="1"/>
      <c r="F61" s="1" t="s">
        <v>88</v>
      </c>
      <c r="G61" s="1"/>
      <c r="H61" s="1" t="s">
        <v>88</v>
      </c>
      <c r="I61" s="1"/>
      <c r="J61" s="6"/>
      <c r="K61" s="5"/>
      <c r="L61" s="1"/>
      <c r="M61" s="1"/>
      <c r="N61" s="1"/>
      <c r="O61" s="1"/>
      <c r="P61" s="1"/>
      <c r="Q61" s="6"/>
    </row>
    <row r="62" spans="3:17">
      <c r="C62" s="5" t="s">
        <v>146</v>
      </c>
      <c r="D62" s="1"/>
      <c r="E62" s="1"/>
      <c r="F62" s="1" t="s">
        <v>65</v>
      </c>
      <c r="G62" s="1"/>
      <c r="H62" s="1" t="s">
        <v>9</v>
      </c>
      <c r="I62" s="1"/>
      <c r="J62" s="6"/>
      <c r="K62" s="5"/>
      <c r="L62" s="1"/>
      <c r="M62" s="1"/>
      <c r="N62" s="1"/>
      <c r="O62" s="1"/>
      <c r="P62" s="1"/>
      <c r="Q62" s="6"/>
    </row>
    <row r="63" spans="3:17">
      <c r="C63" s="5" t="s">
        <v>87</v>
      </c>
      <c r="D63" s="1"/>
      <c r="E63" s="1"/>
      <c r="F63" s="1" t="s">
        <v>114</v>
      </c>
      <c r="G63" s="1"/>
      <c r="H63" s="11" t="s">
        <v>129</v>
      </c>
      <c r="I63" s="1"/>
      <c r="J63" s="6"/>
      <c r="K63" s="5"/>
      <c r="L63" s="1"/>
      <c r="M63" s="1"/>
      <c r="N63" s="1"/>
      <c r="O63" s="1"/>
      <c r="P63" s="1"/>
      <c r="Q63" s="6"/>
    </row>
    <row r="64" spans="3:17">
      <c r="C64" s="5"/>
      <c r="D64" s="1"/>
      <c r="E64" s="1"/>
      <c r="F64" s="11" t="s">
        <v>9</v>
      </c>
      <c r="G64" s="1"/>
      <c r="H64" s="11" t="s">
        <v>130</v>
      </c>
      <c r="I64" s="1"/>
      <c r="J64" s="6"/>
      <c r="K64" s="5"/>
      <c r="L64" s="1"/>
      <c r="M64" s="1"/>
      <c r="N64" s="1"/>
      <c r="O64" s="1"/>
      <c r="P64" s="1"/>
      <c r="Q64" s="6"/>
    </row>
    <row r="65" spans="3:26" ht="15.75" thickBot="1">
      <c r="C65" s="5"/>
      <c r="D65" s="1"/>
      <c r="E65" s="1"/>
      <c r="F65" s="11"/>
      <c r="G65" s="1"/>
      <c r="H65" s="8" t="s">
        <v>131</v>
      </c>
      <c r="I65" s="1"/>
      <c r="J65" s="6"/>
      <c r="K65" s="5"/>
      <c r="L65" s="1"/>
      <c r="M65" s="1"/>
      <c r="N65" s="1"/>
      <c r="O65" s="1"/>
      <c r="P65" s="1"/>
      <c r="Q65" s="6"/>
    </row>
    <row r="66" spans="3:26" ht="15.75" thickBot="1">
      <c r="C66" s="7"/>
      <c r="D66" s="8"/>
      <c r="E66" s="8"/>
      <c r="F66" s="8"/>
      <c r="G66" s="8"/>
      <c r="H66" s="11" t="s">
        <v>87</v>
      </c>
      <c r="I66" s="8"/>
      <c r="J66" s="9"/>
      <c r="K66" s="7"/>
      <c r="L66" s="8"/>
      <c r="M66" s="8"/>
      <c r="N66" s="8"/>
      <c r="O66" s="8"/>
      <c r="P66" s="8"/>
      <c r="Q66" s="9"/>
    </row>
    <row r="69" spans="3:26">
      <c r="C69" t="str">
        <f>IF(Arkusz1!M9="Polycarbonate","A1-","A3-")</f>
        <v>A3-</v>
      </c>
      <c r="D69" t="str">
        <f>IF(OR(Arkusz1!J12=Arkusz2!C14,Arkusz1!J12=Arkusz2!C11,Arkusz1!J12=Arkusz2!C12),"BM","BN")</f>
        <v>BN</v>
      </c>
      <c r="E69" t="str">
        <f>IF(OR(Arkusz1!J12=Arkusz2!C12,Arkusz1!J12=Arkusz2!C13),2,IF(Arkusz1!J12=Arkusz2!C11,1,IF(Arkusz1!J12=C14,0,"F")))</f>
        <v>F</v>
      </c>
      <c r="F69" t="str">
        <f>IF(Arkusz1!M12=Arkusz2!F11,"1-",IF(Arkusz1!M12=Arkusz2!F12,"2-",IF(Arkusz1!M12=Arkusz2!F13,"3-",IF(Arkusz1!M12=Arkusz2!F14,"4-",IF(Arkusz1!M12=Arkusz2!F15,"5-",IF(Arkusz2!F16=Arkusz1!M12,"6-",IF(Arkusz1!M12=Arkusz2!F17,"7-",IF(Arkusz1!M12=Arkusz2!F18,"8-",IF(Arkusz1!M12=Arkusz2!F19,"K-",IF(Arkusz1!M12=Arkusz2!F20,"9-","0-"))))))))))</f>
        <v>0-</v>
      </c>
      <c r="G69" t="str">
        <f>IF(OR(Arkusz1!J18=Arkusz2!C36,Arkusz1!J18=Arkusz2!C14,Arkusz1!J18=Arkusz2!C11,Arkusz1!J18=Arkusz2!C12),"CM","CN")</f>
        <v>CN</v>
      </c>
      <c r="H69" t="str">
        <f>IF(Arkusz1!J18=Arkusz2!C37,3,IF(OR(Arkusz1!J18=Arkusz2!C38,Arkusz1!J18=Arkusz2!C39),4,IF(Arkusz1!J18=C36,0,"")))</f>
        <v/>
      </c>
      <c r="I69" t="str">
        <f>IF(AND(Arkusz1!J18&lt;&gt;Arkusz2!C36,Arkusz1!M18=Arkusz2!F36),"1-",IF(AND(Arkusz1!J18&lt;&gt;Arkusz2!C36,Arkusz1!M18=Arkusz2!F37),"2-",IF(AND(Arkusz1!J18&lt;&gt;Arkusz2!C36,Arkusz1!M18=Arkusz2!F38),"3-",IF(AND(Arkusz1!J18&lt;&gt;Arkusz2!C36,Arkusz1!M18=Arkusz2!F39),"4-",IF(AND(Arkusz1!J18&lt;&gt;Arkusz2!C36,Arkusz1!M18=Arkusz2!F40),"5-",IF(AND(Arkusz1!J18&lt;&gt;Arkusz2!C36,Arkusz1!M18=Arkusz2!F41),"6-",IF(AND(Arkusz1!J18&lt;&gt;Arkusz2!C36,Arkusz1!M18=Arkusz2!F42),"7-",IF(AND(Arkusz1!J18&lt;&gt;Arkusz2!C36,Arkusz1!M18=Arkusz2!F43),"8-",IF(AND(Arkusz1!J18&lt;&gt;Arkusz2!C36,Arkusz1!M18=Arkusz2!F44),"9-",IF(AND(Arkusz1!J18&lt;&gt;Arkusz2!C36,Arkusz1!M18=Arkusz2!F45),"A-","0-"))))))))))</f>
        <v>0-</v>
      </c>
      <c r="J69">
        <f>IF(AND(Arkusz1!J15=Arkusz2!C24,Arkusz1!P15=Arkusz2!H24),"D4",IF(AND(Arkusz1!J15=Arkusz2!C24,Arkusz1!P15=Arkusz2!H25),"D5",IF(AND(Arkusz1!J15=Arkusz2!C25,Arkusz1!P15=Arkusz2!H24),"D2",IF(AND(Arkusz1!J15=Arkusz2!C25,Arkusz1!P15=Arkusz2!H26),"D6",IF(AND(Arkusz1!J15=Arkusz2!C24,Arkusz1!P15=Arkusz2!H26),"D5",IF(AND(Arkusz1!J15=Arkusz2!C25,Arkusz1!P15=Arkusz2!H25),"D6",0))))))</f>
        <v>0</v>
      </c>
      <c r="K69" t="str">
        <f>IF(Arkusz1!M15=Arkusz2!F24,"1-",IF(Arkusz1!M15=Arkusz2!F25,"2-",IF(Arkusz1!M15=Arkusz2!F26,"3-",IF(Arkusz1!M15=Arkusz2!F27,"4-",IF(Arkusz1!M15=Arkusz2!F28,"5-",IF(Arkusz1!M15=Arkusz2!F29,"6-",IF(Arkusz1!M15=Arkusz2!F30,"7-",IF(Arkusz1!M15=Arkusz2!F31,"9-",IF(Arkusz1!M15=Arkusz2!F32,"10-","0-")))))))))</f>
        <v>0-</v>
      </c>
      <c r="L69" t="str">
        <f>IF(Arkusz1!B27=Arkusz2!K15,"E10-",IF(Arkusz1!B27=Arkusz2!K16,"E11-",IF(Arkusz1!B27=Arkusz2!K17,"E12-",IF(Arkusz1!B27=Arkusz2!K18,"E15-",IF(Arkusz1!B27=Arkusz2!K19,"E16-","ERROR")))))</f>
        <v>ERROR</v>
      </c>
      <c r="M69" t="str">
        <f>IF(Arkusz1!F27=Arkusz2!O15,"F0-",IF(Arkusz1!F27=Arkusz2!O16,"F1-",IF(Arkusz1!F27=Arkusz2!O17,"F2-",IF(Arkusz1!F27=Arkusz2!O18,"F3-","ERROR"))))</f>
        <v>ERROR</v>
      </c>
      <c r="N69">
        <f>IF(Arkusz1!F24=Arkusz2!O7,"G4-",IF(Arkusz1!F24=Arkusz2!O8,"G3-",IF(AND(Arkusz1!J9=Arkusz2!C5,Arkusz1!F24=Arkusz2!O8),"ERROR",0)))</f>
        <v>0</v>
      </c>
      <c r="O69">
        <f>IF(Arkusz1!B24=Arkusz2!K9,"H4-",IF(Arkusz1!B24=Arkusz2!K7,"H7-",IF(Arkusz1!B24=Arkusz2!K8,"H8-",0)))</f>
        <v>0</v>
      </c>
      <c r="P69" t="str">
        <f>IF(AND(Arkusz1!J24=Arkusz2!K35,Arkusz1!M24=Arkusz2!M35,Arkusz1!P24=Arkusz2!O38),"K0-",IF(AND(Arkusz1!J24=Arkusz2!K35,Arkusz1!M24=Arkusz2!M35,Arkusz1!P24=Arkusz2!O35),"K1-",IF(AND(Arkusz1!J24=Arkusz2!K35,Arkusz1!M24=Arkusz2!M36,Arkusz1!P24=Arkusz2!O36),"K2-",IF(AND(Arkusz1!J24=Arkusz2!K35,Arkusz1!M24=Arkusz2!M37,Arkusz1!P24=Arkusz2!O37),"K3-",IF(AND(Arkusz1!J24=Arkusz2!K35,Arkusz1!M24=Arkusz2!M37,Arkusz1!P24=Arkusz2!O38),"K4-",IF(AND(Arkusz1!J24=Arkusz2!K35,Arkusz1!M24=Arkusz2!M36,Arkusz1!P24=Arkusz2!O38),"K5-","K9-"))))))</f>
        <v>K9-</v>
      </c>
      <c r="Q69" t="str">
        <f>IF(Arkusz1!J9="MID","L1-","L0-")</f>
        <v>L0-</v>
      </c>
      <c r="R69" t="str">
        <f>IF(Arkusz1!J27=Arkusz2!K44,"P1-",IF(Arkusz1!J27=Arkusz2!K45,"P0-",IF(Arkusz1!J27=Arkusz2!K46,"P2-","ERROR")))</f>
        <v>ERROR</v>
      </c>
      <c r="S69" t="str">
        <f>IF(Arkusz1!M27=Arkusz2!M44,"T0-","T1-")</f>
        <v>T1-</v>
      </c>
      <c r="T69" t="str">
        <f>IF(Arkusz1!P27=Arkusz2!O44,"V0-","V1-")</f>
        <v>V1-</v>
      </c>
      <c r="U69" t="str">
        <f>IF(Arkusz1!J30=Arkusz2!K56,"M0",IF(Arkusz1!J30=Arkusz2!K57,"M1",IF(Arkusz1!J30=Arkusz2!K58,"M2",IF(Arkusz1!J30=Arkusz2!K59,"M3","0"))))</f>
        <v>M1</v>
      </c>
      <c r="V69" t="e">
        <f>IF(Arkusz1!J33=Arkusz2!K56,"0-",IF(Arkusz1!J33=Arkusz2!K57,"1-",IF(Arkusz1!J33=Arkusz2!K58,"2-",IF(Arkusz1!J33=Arkusz2!K59,"3-",IF(Arkusz1!J33=Arkusz2!#REF!,RIGHT(U69,1)&amp;"-","ERROR")))))</f>
        <v>#REF!</v>
      </c>
      <c r="W69" t="str">
        <f>IF(Arkusz1!M30=N49,"N0",IF(OR(Arkusz1!M30=N57,Arkusz1!M30=N58),"N9","ERROR"))</f>
        <v>N0</v>
      </c>
      <c r="X69" t="str">
        <f>IF(Arkusz1!M33=Arkusz2!N56,"0-",IF(OR(Arkusz1!M33=Arkusz2!N57,Arkusz1!M33=Arkusz2!N58),"9-","N-ERROR"))</f>
        <v>N-ERROR</v>
      </c>
      <c r="Y69" t="str">
        <f>IF(Arkusz1!B39=Arkusz2!C51,"P1-",IF(Arkusz1!B39=Arkusz2!C52,"R0-",IF(Arkusz1!B39=Arkusz2!C53,"R2-",IF(Arkusz1!B39=C54,"R3-",IF(Arkusz1!B39=C55,"R4-",IF(Arkusz1!B39=C56,"R5-",IF(Arkusz1!B39=C57,"R6-","P-ERROR")))))))</f>
        <v>P-ERROR</v>
      </c>
      <c r="Z69" t="str">
        <f>IF(Arkusz1!F39=Arkusz2!F52,"S0",IF(Arkusz1!F39=Arkusz2!F51,"S1",IF(Arkusz1!F39=Arkusz2!F55,"S3",IF(Arkusz1!F39=Arkusz2!F54,"S4",IF(Arkusz1!F39=F53,"S2",IF(Arkusz1!F39=F56,"S5",IF(Arkusz1!F39=F57,"S6",IF(Arkusz1!F39=F58,"S7","S-ERROR"))))))))</f>
        <v>S-ERROR</v>
      </c>
    </row>
  </sheetData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Arkusz1</vt:lpstr>
      <vt:lpstr>Arkusz2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 Stepaniuk</dc:creator>
  <cp:lastModifiedBy>Mariusz Sierotko</cp:lastModifiedBy>
  <cp:lastPrinted>2022-02-11T14:38:05Z</cp:lastPrinted>
  <dcterms:created xsi:type="dcterms:W3CDTF">2021-01-11T09:50:43Z</dcterms:created>
  <dcterms:modified xsi:type="dcterms:W3CDTF">2022-02-15T14:15:58Z</dcterms:modified>
</cp:coreProperties>
</file>